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8.18\待定稿\CRG-2026-02  号（常州市奥林匹克花园物业服务项目）（二次）\招标文件附件\"/>
    </mc:Choice>
  </mc:AlternateContent>
  <bookViews>
    <workbookView windowWidth="27945" windowHeight="12375" tabRatio="839"/>
  </bookViews>
  <sheets>
    <sheet name="预算汇总" sheetId="2" r:id="rId1"/>
    <sheet name="收入明细" sheetId="1" r:id="rId2"/>
    <sheet name="1.工资福利" sheetId="3" r:id="rId3"/>
    <sheet name="2.设施设备运行维护" sheetId="4" r:id="rId4"/>
    <sheet name="3.清洁卫生" sheetId="5" r:id="rId5"/>
    <sheet name="4.绿化养护" sheetId="6" r:id="rId6"/>
    <sheet name="5.秩序维护" sheetId="7" r:id="rId7"/>
    <sheet name="6.办公费用" sheetId="9" r:id="rId8"/>
    <sheet name="7.开办费摊销" sheetId="10" r:id="rId9"/>
    <sheet name="8.保险" sheetId="11" r:id="rId10"/>
    <sheet name="9.其他费用" sheetId="8" r:id="rId11"/>
    <sheet name="10.规划各类建筑物面积" sheetId="12" r:id="rId12"/>
  </sheets>
  <definedNames>
    <definedName name="_xlnm.Print_Area" localSheetId="0">预算汇总!$A$1:$F$58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舒可心</author>
    <author>微软用户</author>
  </authors>
  <commentList>
    <comment ref="Q3" authorId="0">
      <text>
        <r>
          <rPr>
            <sz val="9"/>
            <rFont val="宋体"/>
            <charset val="134"/>
          </rPr>
          <t>Administrator:
濮阳企业没有缴纳公积金的</t>
        </r>
      </text>
    </comment>
    <comment ref="R3" authorId="1">
      <text>
        <r>
          <rPr>
            <sz val="9"/>
            <rFont val="宋体"/>
            <charset val="134"/>
          </rPr>
          <t>用于：会议、培训等</t>
        </r>
      </text>
    </comment>
    <comment ref="S3" authorId="1">
      <text>
        <r>
          <rPr>
            <sz val="9"/>
            <rFont val="宋体"/>
            <charset val="134"/>
          </rPr>
          <t>春节、降暑、中秋节福利费、工装费、看望慰问、差旅费等福利费</t>
        </r>
      </text>
    </comment>
    <comment ref="B4" authorId="0">
      <text>
        <r>
          <rPr>
            <sz val="9"/>
            <rFont val="宋体"/>
            <charset val="134"/>
          </rPr>
          <t>Administrator:
舒老师薪资待遇按照年薪30万元核算</t>
        </r>
      </text>
    </comment>
    <comment ref="H4" authorId="0">
      <text>
        <r>
          <rPr>
            <sz val="9"/>
            <rFont val="宋体"/>
            <charset val="134"/>
          </rPr>
          <t>Administrator:
全年按照11天法定节假日值班，每天2倍工资</t>
        </r>
      </text>
    </comment>
    <comment ref="I4" authorId="0">
      <text>
        <r>
          <rPr>
            <sz val="9"/>
            <rFont val="宋体"/>
            <charset val="134"/>
          </rPr>
          <t>Administrator:
此项费费用是个人实际拿到的现金薪资收入，不包含保险、福利费、工装费</t>
        </r>
      </text>
    </comment>
    <comment ref="G5" authorId="0">
      <text>
        <r>
          <rPr>
            <sz val="9"/>
            <rFont val="宋体"/>
            <charset val="134"/>
          </rPr>
          <t>Administrator:
车辆补贴每月600元</t>
        </r>
      </text>
    </comment>
    <comment ref="B9" authorId="2">
      <text>
        <r>
          <rPr>
            <sz val="9"/>
            <rFont val="宋体"/>
            <charset val="134"/>
          </rPr>
          <t>微软用户:
（品质检查、制度执行监督落实、采购、岗前培训）</t>
        </r>
      </text>
    </comment>
    <comment ref="G9" authorId="0">
      <text>
        <r>
          <rPr>
            <sz val="9"/>
            <rFont val="宋体"/>
            <charset val="134"/>
          </rPr>
          <t>Administrator:
采购员每月补助100元</t>
        </r>
      </text>
    </comment>
    <comment ref="H10" authorId="0">
      <text>
        <r>
          <rPr>
            <sz val="9"/>
            <rFont val="宋体"/>
            <charset val="134"/>
          </rPr>
          <t>Administrator:
安全、保洁、绿化没有节假日休息，值班费按照全年29天计算，每天值班费固定30元</t>
        </r>
      </text>
    </comment>
    <comment ref="C11" authorId="1">
      <text>
        <r>
          <rPr>
            <sz val="9"/>
            <rFont val="宋体"/>
            <charset val="134"/>
          </rPr>
          <t>节假日工作和财务的其他工作</t>
        </r>
      </text>
    </comment>
    <comment ref="G14" authorId="0">
      <text>
        <r>
          <rPr>
            <sz val="9"/>
            <rFont val="宋体"/>
            <charset val="134"/>
          </rPr>
          <t>Administrator:
夜间值班每晚20元，3人轮流每人值班10天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A3" authorId="0">
      <text>
        <r>
          <rPr>
            <sz val="9"/>
            <rFont val="宋体"/>
            <charset val="134"/>
          </rPr>
          <t>Administrator:
1、泵房2、景观运行3、弱电4、庭院景观照明用电，暂时按照平均值计算</t>
        </r>
      </text>
    </comment>
    <comment ref="B4" authorId="0">
      <text>
        <r>
          <rPr>
            <sz val="9"/>
            <rFont val="宋体"/>
            <charset val="134"/>
          </rPr>
          <t>Administrator:
包含电梯运行、机房照明、机房空调降温、轿厢顶照明用电电费                  1、电梯运行电费=电梯数量40台*电梯功率15KW*30天*每天使用3小时*电费单价0.83元2、机房照明电费=电梯数量40台*照明灯功率0.1KW*30天*每天使用2小时*电费单价0.56元
3、机房空调降温电费=电梯数量40台*电梯功率2KW*15天*每天使用2小时*电费单价0.56元
4、电梯轿顶照明电费=电梯数量40台*照明功率0.2KW*30天*每天使用24小时*电费单价0.56元</t>
        </r>
      </text>
    </comment>
    <comment ref="B5" authorId="0">
      <text>
        <r>
          <rPr>
            <sz val="9"/>
            <rFont val="宋体"/>
            <charset val="134"/>
          </rPr>
          <t>Administrator:
包含楼道、室外路灯、庭院灯、弱电监控等所有照明系统用电</t>
        </r>
      </text>
    </comment>
    <comment ref="B6" authorId="0">
      <text>
        <r>
          <rPr>
            <sz val="9"/>
            <rFont val="宋体"/>
            <charset val="134"/>
          </rPr>
          <t>Administrator:
消防水泵、送、排烟风机、中控室电费</t>
        </r>
      </text>
    </comment>
    <comment ref="B11" authorId="0">
      <text>
        <r>
          <rPr>
            <sz val="9"/>
            <rFont val="宋体"/>
            <charset val="134"/>
          </rPr>
          <t>Administrator:
绿化水费=绿化面积24231.09平方米*0.03（渗透土壤3厘米）*50%*15天（每月按照15天平均浇水日）*水费单价2.6元/立方，
全年有三个月不用浇水</t>
        </r>
      </text>
    </comment>
    <comment ref="B12" authorId="0">
      <text>
        <r>
          <rPr>
            <sz val="9"/>
            <rFont val="宋体"/>
            <charset val="134"/>
          </rPr>
          <t>Administrator:
清洁用水=每天用水量估算10方*30天*2.6元/立方</t>
        </r>
      </text>
    </comment>
    <comment ref="B13" authorId="0">
      <text>
        <r>
          <rPr>
            <sz val="9"/>
            <rFont val="宋体"/>
            <charset val="134"/>
          </rPr>
          <t>Administrator:
景观用水=景观每天耗用水量*30天*水单价</t>
        </r>
      </text>
    </comment>
    <comment ref="F16" authorId="0">
      <text>
        <r>
          <rPr>
            <sz val="9"/>
            <rFont val="宋体"/>
            <charset val="134"/>
          </rPr>
          <t>Administrator:
电梯大包价格，包含小修零配件</t>
        </r>
      </text>
    </comment>
    <comment ref="B22" authorId="0">
      <text>
        <r>
          <rPr>
            <sz val="9"/>
            <rFont val="宋体"/>
            <charset val="134"/>
          </rPr>
          <t>Administrator:
消防报警按钮、中控操作电子配件等</t>
        </r>
      </text>
    </comment>
    <comment ref="D23" authorId="0">
      <text>
        <r>
          <rPr>
            <sz val="9"/>
            <rFont val="宋体"/>
            <charset val="134"/>
          </rPr>
          <t>Administrator:
20个单元按照每个单元配置2个核算，中控室备10个、门岗、巡逻岗各配4个，共计58个</t>
        </r>
      </text>
    </comment>
  </commentList>
</comments>
</file>

<file path=xl/comments3.xml><?xml version="1.0" encoding="utf-8"?>
<comments xmlns="http://schemas.openxmlformats.org/spreadsheetml/2006/main">
  <authors>
    <author>zce</author>
    <author>Administrator</author>
  </authors>
  <commentList>
    <comment ref="A3" authorId="0">
      <text>
        <r>
          <rPr>
            <sz val="9"/>
            <rFont val="宋体"/>
            <charset val="134"/>
          </rPr>
          <t>保洁服务合同外包，人员属于派遣</t>
        </r>
      </text>
    </comment>
    <comment ref="B4" authorId="1">
      <text>
        <r>
          <rPr>
            <sz val="9"/>
            <rFont val="宋体"/>
            <charset val="134"/>
          </rPr>
          <t>Administrator:
在人工成本中已经核算了保洁人工费用</t>
        </r>
      </text>
    </comment>
    <comment ref="B10" authorId="1">
      <text>
        <r>
          <rPr>
            <sz val="9"/>
            <rFont val="宋体"/>
            <charset val="134"/>
          </rPr>
          <t>Administrator:
此项费用由业主承担，业主办理装修手续时缴纳清运费</t>
        </r>
      </text>
    </comment>
  </commentList>
</comments>
</file>

<file path=xl/comments4.xml><?xml version="1.0" encoding="utf-8"?>
<comments xmlns="http://schemas.openxmlformats.org/spreadsheetml/2006/main">
  <authors>
    <author>zce</author>
    <author>邢立军</author>
  </authors>
  <commentList>
    <comment ref="A3" authorId="0">
      <text>
        <r>
          <rPr>
            <sz val="9"/>
            <rFont val="宋体"/>
            <charset val="134"/>
          </rPr>
          <t>合同外包，属于人力派遣保安。如自聘保安则放入工资福利中</t>
        </r>
      </text>
    </comment>
    <comment ref="E9" authorId="1">
      <text>
        <r>
          <rPr>
            <sz val="9"/>
            <rFont val="宋体"/>
            <charset val="134"/>
          </rPr>
          <t>前台2部、维修10部、人行闸1部、门岗1部、车库1部、巡逻1部、监控室2部、队长1部、负责人1部</t>
        </r>
      </text>
    </comment>
  </commentList>
</comments>
</file>

<file path=xl/comments5.xml><?xml version="1.0" encoding="utf-8"?>
<comments xmlns="http://schemas.openxmlformats.org/spreadsheetml/2006/main">
  <authors>
    <author>shukexin@263.net</author>
  </authors>
  <commentList>
    <comment ref="G55" authorId="0">
      <text>
        <r>
          <rPr>
            <b/>
            <sz val="9"/>
            <rFont val="宋体"/>
            <charset val="134"/>
          </rPr>
          <t xml:space="preserve">2件上衣+1条裤子
</t>
        </r>
      </text>
    </comment>
    <comment ref="G56" authorId="0">
      <text>
        <r>
          <rPr>
            <b/>
            <sz val="9"/>
            <rFont val="宋体"/>
            <charset val="134"/>
          </rPr>
          <t xml:space="preserve">2套服装
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A3" authorId="0">
      <text>
        <r>
          <rPr>
            <sz val="9"/>
            <rFont val="宋体"/>
            <charset val="134"/>
          </rPr>
          <t>Administrator:
因为没有购买过公众责任险，按照模板核算</t>
        </r>
      </text>
    </comment>
  </commentList>
</comments>
</file>

<file path=xl/sharedStrings.xml><?xml version="1.0" encoding="utf-8"?>
<sst xmlns="http://schemas.openxmlformats.org/spreadsheetml/2006/main" count="481" uniqueCount="315">
  <si>
    <t>某某小区物业维护基金的资金年度收支预算案</t>
  </si>
  <si>
    <t>占比</t>
  </si>
  <si>
    <r>
      <rPr>
        <b/>
        <sz val="12"/>
        <rFont val="宋体"/>
        <charset val="134"/>
      </rPr>
      <t>收入:（</t>
    </r>
    <r>
      <rPr>
        <b/>
        <sz val="12"/>
        <rFont val="宋体"/>
        <charset val="134"/>
      </rPr>
      <t>物业维护基金总收入）</t>
    </r>
  </si>
  <si>
    <t>物业费收入</t>
  </si>
  <si>
    <t>地下车位管理费收入</t>
  </si>
  <si>
    <t>其他管理费收入</t>
  </si>
  <si>
    <t>收入合计：</t>
  </si>
  <si>
    <t>物业管理成本及物业费单价核算</t>
  </si>
  <si>
    <t>支出：</t>
  </si>
  <si>
    <t>一</t>
  </si>
  <si>
    <t>（一）管理服务人员的工资、社会保险和按规定提取的福利费等</t>
  </si>
  <si>
    <t>薪金、奖金、加班费等薪酬类</t>
  </si>
  <si>
    <t>社会保险和福利费</t>
  </si>
  <si>
    <t>小计</t>
  </si>
  <si>
    <t>二</t>
  </si>
  <si>
    <t>（二）物业共用部位、共用设施设备的日常运行、维护费用</t>
  </si>
  <si>
    <t>三</t>
  </si>
  <si>
    <t>（三）物业管理区域清洁卫生费用</t>
  </si>
  <si>
    <t>四</t>
  </si>
  <si>
    <t>（四）物业管理区域绿化养护费用</t>
  </si>
  <si>
    <t>五</t>
  </si>
  <si>
    <t>（五）物业管理区域秩序维护费用</t>
  </si>
  <si>
    <t>六</t>
  </si>
  <si>
    <t>（六）行政办公费用</t>
  </si>
  <si>
    <t>9.人员服装</t>
  </si>
  <si>
    <t>七</t>
  </si>
  <si>
    <t>（七）前期开办费用摊销</t>
  </si>
  <si>
    <t>八</t>
  </si>
  <si>
    <t>（八）物业共用部位、共用设施设备及公众责任保险费用</t>
  </si>
  <si>
    <t>九</t>
  </si>
  <si>
    <t>（九）税费和其它费用</t>
  </si>
  <si>
    <t>十</t>
  </si>
  <si>
    <t>（十）管理者酬金(10%）</t>
  </si>
  <si>
    <t>支出合计：</t>
  </si>
  <si>
    <t>收支预算结余</t>
  </si>
  <si>
    <t>某某小区I期-2018年度-物业维护基金收入预算
（1,2,3,5,6,7,8,9,10号楼）</t>
  </si>
  <si>
    <t>科目、细目</t>
  </si>
  <si>
    <t>合计</t>
  </si>
  <si>
    <t>1.物业费收入</t>
  </si>
  <si>
    <t>面积</t>
  </si>
  <si>
    <t>单价</t>
  </si>
  <si>
    <t>年收费月份</t>
  </si>
  <si>
    <t>系数</t>
  </si>
  <si>
    <t>住宅</t>
  </si>
  <si>
    <t>地下室</t>
  </si>
  <si>
    <t>商业</t>
  </si>
  <si>
    <t>幼儿园</t>
  </si>
  <si>
    <r>
      <rPr>
        <b/>
        <sz val="12"/>
        <rFont val="宋体"/>
        <charset val="134"/>
      </rPr>
      <t>2</t>
    </r>
    <r>
      <rPr>
        <b/>
        <sz val="12"/>
        <rFont val="宋体"/>
        <charset val="134"/>
      </rPr>
      <t>.</t>
    </r>
    <r>
      <rPr>
        <b/>
        <sz val="12"/>
        <rFont val="宋体"/>
        <charset val="134"/>
      </rPr>
      <t>地下车位管理费</t>
    </r>
  </si>
  <si>
    <t>停车场、库管理费收入</t>
  </si>
  <si>
    <t>数量</t>
  </si>
  <si>
    <t>年度小计</t>
  </si>
  <si>
    <t>地下车位管理费</t>
  </si>
  <si>
    <t>3.其他管理费收入</t>
  </si>
  <si>
    <t>装修管理费</t>
  </si>
  <si>
    <t>装修管理费，因为前面是总的面积数据。交房当年，假定有一半的人装修，所以是总面积的一半的一半，大概是0.5</t>
  </si>
  <si>
    <t>广告、门禁卡、各种证件办理</t>
  </si>
  <si>
    <t>总计</t>
  </si>
  <si>
    <t>其他管理费收入（装修管理费等）</t>
  </si>
  <si>
    <t>某某小区-I期物业管理人工成本预算 （2018年）</t>
  </si>
  <si>
    <t>1、薪金、奖金、加班费等薪酬类</t>
  </si>
  <si>
    <t>2、社会保险及福利费</t>
  </si>
  <si>
    <t>岗   位</t>
  </si>
  <si>
    <t>人数</t>
  </si>
  <si>
    <t>月薪标准</t>
  </si>
  <si>
    <t>年薪金总额</t>
  </si>
  <si>
    <t>奖金</t>
  </si>
  <si>
    <t>岗位津贴</t>
  </si>
  <si>
    <t>节假日值班</t>
  </si>
  <si>
    <t>薪酬类收入
小计</t>
  </si>
  <si>
    <t>人月均工资</t>
  </si>
  <si>
    <t>社保缴费最低基数</t>
  </si>
  <si>
    <t>年养老保险
20%</t>
  </si>
  <si>
    <t>年失业保险
2%</t>
  </si>
  <si>
    <t>年工伤保险
1%</t>
  </si>
  <si>
    <t>年生育保险
1%</t>
  </si>
  <si>
    <t>年医疗保险
6%</t>
  </si>
  <si>
    <t>年住房
公积金8%</t>
  </si>
  <si>
    <t>教育经费
1%</t>
  </si>
  <si>
    <t>年福利
10%</t>
  </si>
  <si>
    <t>年保险、福利
费合计</t>
  </si>
  <si>
    <t>经理级</t>
  </si>
  <si>
    <t>项目经理</t>
  </si>
  <si>
    <t>经理助理</t>
  </si>
  <si>
    <t>客服部</t>
  </si>
  <si>
    <t>客服部主管</t>
  </si>
  <si>
    <t>客服管家</t>
  </si>
  <si>
    <t>前台收费、接待报修员</t>
  </si>
  <si>
    <t>行政品质</t>
  </si>
  <si>
    <t>行政主办</t>
  </si>
  <si>
    <t>档案管理兼库管</t>
  </si>
  <si>
    <t>财务部</t>
  </si>
  <si>
    <t>出纳</t>
  </si>
  <si>
    <t>工程部</t>
  </si>
  <si>
    <t>工程部机电主管（设备主管）</t>
  </si>
  <si>
    <t>设施设备管理工程师（消防、电梯、弱电）</t>
  </si>
  <si>
    <t>给排水、土建、安装维修工</t>
  </si>
  <si>
    <t>合     计</t>
  </si>
  <si>
    <t>当地社保缴费最低基数（一般为社平工资的60%）</t>
  </si>
  <si>
    <t>某某小区-I期 物业管理设施、设备运行维护费用预算 （2018年度）</t>
  </si>
  <si>
    <t>1.公共电费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</si>
  <si>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</si>
  <si>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</si>
  <si>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</si>
  <si>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</si>
  <si>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</si>
  <si>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</si>
  <si>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</si>
  <si>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</si>
  <si>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</si>
  <si>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</si>
  <si>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</si>
  <si>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</si>
  <si>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年总计</t>
  </si>
  <si>
    <t>此五项公共电费属代收代缴项目，由业主公摊（最终以实际计量表为准））</t>
  </si>
  <si>
    <t>电梯系统电费</t>
  </si>
  <si>
    <t>公共照明系统</t>
  </si>
  <si>
    <t>消防系统</t>
  </si>
  <si>
    <t>给排水、二次供水系统</t>
  </si>
  <si>
    <t>景观水系系统</t>
  </si>
  <si>
    <t>2.公共水费</t>
  </si>
  <si>
    <t>此三项公共水费属代收代缴项目，由业主公摊（最终以实际计量表为准））</t>
  </si>
  <si>
    <t>绿化水费</t>
  </si>
  <si>
    <t>-</t>
  </si>
  <si>
    <t>清洁用水</t>
  </si>
  <si>
    <t>景观用水</t>
  </si>
  <si>
    <t>3.电梯运行费（合同）</t>
  </si>
  <si>
    <r>
      <rPr>
        <sz val="12"/>
        <rFont val="宋体"/>
        <charset val="134"/>
      </rPr>
      <t>单价/</t>
    </r>
    <r>
      <rPr>
        <sz val="12"/>
        <rFont val="宋体"/>
        <charset val="134"/>
      </rPr>
      <t>年</t>
    </r>
  </si>
  <si>
    <t>电梯保养费</t>
  </si>
  <si>
    <t>电梯年检费</t>
  </si>
  <si>
    <t>4.消防系统维护费</t>
  </si>
  <si>
    <r>
      <rPr>
        <b/>
        <sz val="12"/>
        <rFont val="宋体"/>
        <charset val="134"/>
      </rPr>
      <t>单价/</t>
    </r>
    <r>
      <rPr>
        <b/>
        <sz val="12"/>
        <rFont val="宋体"/>
        <charset val="134"/>
      </rPr>
      <t>月</t>
    </r>
  </si>
  <si>
    <t>消防设备维护费</t>
  </si>
  <si>
    <t>楼内探头清洗</t>
  </si>
  <si>
    <t>配件更换</t>
  </si>
  <si>
    <t>灭火器年检</t>
  </si>
  <si>
    <t>5.设施设备日常维护材料费</t>
  </si>
  <si>
    <t>每月预算</t>
  </si>
  <si>
    <t>灯泡、灯管、节能灯、开关等</t>
  </si>
  <si>
    <t>公共区控制箱：包括指示灯、按钮、接触器、空开等</t>
  </si>
  <si>
    <t>安全出口灯、公共区域照明灯具、霓虹灯、泛光灯等</t>
  </si>
  <si>
    <t>高压配电室、低压配电室</t>
  </si>
  <si>
    <t>污水泵控制箱/包括污水泵维护</t>
  </si>
  <si>
    <t>仪器仪表年检费、电工工具年检费</t>
  </si>
  <si>
    <t>楼宇自控及门禁（主机、线路、电磁阀、执行器）</t>
  </si>
  <si>
    <t>6.给、排水系统维护</t>
  </si>
  <si>
    <t>年维护频度</t>
  </si>
  <si>
    <t>维护预算</t>
  </si>
  <si>
    <t>排水系统维修零配件、材料费用</t>
  </si>
  <si>
    <t>给水系统维修零配件、材料费用</t>
  </si>
  <si>
    <t>7.强弱电、中控系统维保费</t>
  </si>
  <si>
    <t>录像机维修、录象带更换、探头清洗、智能化报警
电脑、监视系统及距阵</t>
  </si>
  <si>
    <t>某某小区-I期 物业管理域清洁卫生费用预算 （2018年度）</t>
  </si>
  <si>
    <t>1.保洁服务费</t>
  </si>
  <si>
    <t>月单价</t>
  </si>
  <si>
    <t>年金额</t>
  </si>
  <si>
    <t>保洁外包（21人）</t>
  </si>
  <si>
    <t>2.化粪池清掏费</t>
  </si>
  <si>
    <t>次数</t>
  </si>
  <si>
    <t>化粪池清掏费</t>
  </si>
  <si>
    <t>3.垃圾清运费</t>
  </si>
  <si>
    <r>
      <rPr>
        <sz val="12"/>
        <rFont val="宋体"/>
        <charset val="134"/>
      </rPr>
      <t>单价/</t>
    </r>
    <r>
      <rPr>
        <sz val="12"/>
        <rFont val="宋体"/>
        <charset val="134"/>
      </rPr>
      <t>月</t>
    </r>
  </si>
  <si>
    <t>生活垃圾清运费</t>
  </si>
  <si>
    <t>某某小区-I期 物业管理区域绿化养护费用预算 （2018年度）</t>
  </si>
  <si>
    <t>1.绿地绿化费</t>
  </si>
  <si>
    <t>每月</t>
  </si>
  <si>
    <t>月份</t>
  </si>
  <si>
    <t>员工成本</t>
  </si>
  <si>
    <t>病虫害药品</t>
  </si>
  <si>
    <t>工具、油料、肥料</t>
  </si>
  <si>
    <t>2.日常、节日花卉及其他</t>
  </si>
  <si>
    <t>绿化补种费</t>
  </si>
  <si>
    <t>节日草花购买</t>
  </si>
  <si>
    <t>“五一节”“十一节”“春节”等各种节日</t>
  </si>
  <si>
    <t xml:space="preserve"> 某某小区-I期 物业管理区域秩序维护费用预算 （2018年度）</t>
  </si>
  <si>
    <t>1.保安合同</t>
  </si>
  <si>
    <t>保安服务合同款</t>
  </si>
  <si>
    <t>其他费用</t>
  </si>
  <si>
    <t>2.车场管理费</t>
  </si>
  <si>
    <t>购置、替换车场用品款</t>
  </si>
  <si>
    <t>保安对讲机更换</t>
  </si>
  <si>
    <t>对讲机维修及电池款</t>
  </si>
  <si>
    <t>交通设施购置及软件维护费</t>
  </si>
  <si>
    <t>地锥、栏杆、反光镜、车道指示灯、减速带等、防爆设备</t>
  </si>
  <si>
    <t>巡逻电动车由开发商前期配置</t>
  </si>
  <si>
    <t>某某小区-I期 物业管理区域办公用品费用预算 （2018年度）</t>
  </si>
  <si>
    <t>1.办公用品</t>
  </si>
  <si>
    <t>岗位</t>
  </si>
  <si>
    <t>每月标准</t>
  </si>
  <si>
    <t>年度金额</t>
  </si>
  <si>
    <t>笔、笔记本、尺子、钉书器</t>
  </si>
  <si>
    <t>部门主管</t>
  </si>
  <si>
    <t>客服、维修</t>
  </si>
  <si>
    <t>保安</t>
  </si>
  <si>
    <t>2.办公耗材</t>
  </si>
  <si>
    <t>项目</t>
  </si>
  <si>
    <t>每季度消耗</t>
  </si>
  <si>
    <t>平均单价</t>
  </si>
  <si>
    <t>备注</t>
  </si>
  <si>
    <t>复印机墨粉</t>
  </si>
  <si>
    <t>按每季度换一次计算</t>
  </si>
  <si>
    <t>复印机硒鼓</t>
  </si>
  <si>
    <t>按每年换一次计算</t>
  </si>
  <si>
    <t>打印机墨盒</t>
  </si>
  <si>
    <t>按每月每台机器换一次计算</t>
  </si>
  <si>
    <t>复印纸</t>
  </si>
  <si>
    <t>按每月2包计算</t>
  </si>
  <si>
    <t>财务发票</t>
  </si>
  <si>
    <t>各部门印刷品</t>
  </si>
  <si>
    <t>三联打印纸、账本、记录表格、维修单、财务耗材等</t>
  </si>
  <si>
    <t>3.办公水、电费、物业管理软件</t>
  </si>
  <si>
    <t>项  目</t>
  </si>
  <si>
    <t>月费用</t>
  </si>
  <si>
    <t>水费</t>
  </si>
  <si>
    <t>电费</t>
  </si>
  <si>
    <t>物业管理软件</t>
  </si>
  <si>
    <t>4.报刊杂志费</t>
  </si>
  <si>
    <t>项   目</t>
  </si>
  <si>
    <t>杂志、报纸份数</t>
  </si>
  <si>
    <t>各类报纸</t>
  </si>
  <si>
    <t>5.交通费</t>
  </si>
  <si>
    <t>部门</t>
  </si>
  <si>
    <t>月金额</t>
  </si>
  <si>
    <t>总经理办</t>
  </si>
  <si>
    <t>客户服务部</t>
  </si>
  <si>
    <t>6.固话通讯费</t>
  </si>
  <si>
    <t>电话数量</t>
  </si>
  <si>
    <t>总经理办公室</t>
  </si>
  <si>
    <t>报修投诉电话</t>
  </si>
  <si>
    <t>工 程 部</t>
  </si>
  <si>
    <t>保 安 部</t>
  </si>
  <si>
    <t>中控室</t>
  </si>
  <si>
    <t>7.移动通讯费用</t>
  </si>
  <si>
    <t>行政人事部</t>
  </si>
  <si>
    <t>客服员</t>
  </si>
  <si>
    <t>保安部（总经理助理）</t>
  </si>
  <si>
    <t>8、</t>
  </si>
  <si>
    <t>人员服装</t>
  </si>
  <si>
    <t>春秋装单价</t>
  </si>
  <si>
    <t>春秋装小计</t>
  </si>
  <si>
    <t>夏装单价</t>
  </si>
  <si>
    <t>夏装小计</t>
  </si>
  <si>
    <t>管理人员</t>
  </si>
  <si>
    <t>电工</t>
  </si>
  <si>
    <t>小 计</t>
  </si>
  <si>
    <t>某某小区-I期 物业管理区域开办费分摊预算 （2018年度）</t>
  </si>
  <si>
    <r>
      <rPr>
        <sz val="12"/>
        <rFont val="宋体"/>
        <charset val="134"/>
      </rPr>
      <t>1.</t>
    </r>
    <r>
      <rPr>
        <sz val="12"/>
        <rFont val="宋体"/>
        <charset val="134"/>
      </rPr>
      <t>开办费摊销</t>
    </r>
  </si>
  <si>
    <t>前期开办费总额</t>
  </si>
  <si>
    <t>每月金额</t>
  </si>
  <si>
    <t>开办费摊销</t>
  </si>
  <si>
    <t>业主固定资产</t>
  </si>
  <si>
    <t>某某小区-I期 物业管理区域设施设备及公众责任保险费预算 （2018年度）</t>
  </si>
  <si>
    <t>1.公众责任、财产、机器、车辆保险</t>
  </si>
  <si>
    <t>公众责任保险</t>
  </si>
  <si>
    <t>财产一切险</t>
  </si>
  <si>
    <t>机器损坏险</t>
  </si>
  <si>
    <t>停车场</t>
  </si>
  <si>
    <t>某某小区-I期 物业管理区域其他费用预算 （2018年度）</t>
  </si>
  <si>
    <t>税金和其他费用.</t>
  </si>
  <si>
    <t>1.节日园区布置费</t>
  </si>
  <si>
    <t>元旦、春节、圣诞节。</t>
  </si>
  <si>
    <t>2.税金</t>
  </si>
  <si>
    <t>税率</t>
  </si>
  <si>
    <t>年度收入</t>
  </si>
  <si>
    <t>一、建筑物各项数据明细</t>
  </si>
  <si>
    <t>序号</t>
  </si>
  <si>
    <t>楼号/类型</t>
  </si>
  <si>
    <t>层数</t>
  </si>
  <si>
    <t>建筑高度（M）</t>
  </si>
  <si>
    <t>户数</t>
  </si>
  <si>
    <t>1#（商住）</t>
  </si>
  <si>
    <t>26/-1</t>
  </si>
  <si>
    <t>出处：</t>
  </si>
  <si>
    <t>2#（商住）</t>
  </si>
  <si>
    <t>3#（商住）</t>
  </si>
  <si>
    <t>5#（商住）</t>
  </si>
  <si>
    <t>26/-2</t>
  </si>
  <si>
    <t>6#（住宅）</t>
  </si>
  <si>
    <t>7#（住宅）</t>
  </si>
  <si>
    <t>8#（住宅）</t>
  </si>
  <si>
    <t>9#（商住）</t>
  </si>
  <si>
    <t>10#（商住）</t>
  </si>
  <si>
    <t>幼儿园及物业用房</t>
  </si>
  <si>
    <t>地下停车场</t>
  </si>
  <si>
    <t>二、总规划各类型面积明细</t>
  </si>
  <si>
    <r>
      <rPr>
        <sz val="10"/>
        <rFont val="宋体"/>
        <charset val="134"/>
      </rPr>
      <t>数值/</t>
    </r>
    <r>
      <rPr>
        <sz val="10"/>
        <rFont val="SimSun"/>
        <charset val="134"/>
      </rPr>
      <t>㎡</t>
    </r>
  </si>
  <si>
    <t>备注（信息出处）</t>
  </si>
  <si>
    <t>总征地面积</t>
  </si>
  <si>
    <t>规划用地</t>
  </si>
  <si>
    <t>实占用地</t>
  </si>
  <si>
    <t>规划路占地</t>
  </si>
  <si>
    <t>总建筑面积</t>
  </si>
  <si>
    <t xml:space="preserve">地上建筑物各类型面积
</t>
  </si>
  <si>
    <t>住宅建筑面积</t>
  </si>
  <si>
    <t>商业面积</t>
  </si>
  <si>
    <t>幼儿园面积</t>
  </si>
  <si>
    <t>公厕面积</t>
  </si>
  <si>
    <t>四室四站一所一厅面积</t>
  </si>
  <si>
    <t>物业管理用房面积</t>
  </si>
  <si>
    <t>垃圾中转站面积</t>
  </si>
  <si>
    <t>地上建筑面积合计</t>
  </si>
  <si>
    <t>地下建筑物各类型面积</t>
  </si>
  <si>
    <t>地下车库面积</t>
  </si>
  <si>
    <t>地下储藏室</t>
  </si>
  <si>
    <t>地下建筑面积合计</t>
  </si>
  <si>
    <t>三、项目规划其他数据汇总</t>
  </si>
  <si>
    <t>名称</t>
  </si>
  <si>
    <t>数据</t>
  </si>
  <si>
    <t>容积率</t>
  </si>
  <si>
    <t>建筑密度</t>
  </si>
  <si>
    <t>住宅套数</t>
  </si>
  <si>
    <t>绿地面积</t>
  </si>
  <si>
    <t>绿地率</t>
  </si>
  <si>
    <t>地下机动车车位</t>
  </si>
  <si>
    <t>地面机动车位</t>
  </si>
  <si>
    <t>出处：原规划数据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</si>
</sst>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0.00_ "/>
    <numFmt numFmtId="178" formatCode="0_ "/>
    <numFmt numFmtId="179" formatCode="_ * #,##0.000_ ;_ * \-#,##0.000_ ;_ * &quot;-&quot;??_ ;_ @_ "/>
    <numFmt numFmtId="180" formatCode="#,##0.00_ "/>
  </numFmts>
  <fonts count="38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20"/>
      <name val="宋体"/>
      <charset val="134"/>
    </font>
    <font>
      <b/>
      <i/>
      <sz val="12"/>
      <name val="宋体"/>
      <charset val="134"/>
    </font>
    <font>
      <sz val="12"/>
      <color indexed="8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i/>
      <sz val="10"/>
      <name val="宋体"/>
      <charset val="134"/>
    </font>
    <font>
      <sz val="48"/>
      <name val="宋体"/>
      <charset val="134"/>
    </font>
    <font>
      <sz val="28"/>
      <name val="宋体"/>
      <charset val="134"/>
    </font>
    <font>
      <b/>
      <sz val="12"/>
      <name val="新宋体"/>
      <charset val="134"/>
    </font>
    <font>
      <sz val="12"/>
      <name val="新宋体"/>
      <charset val="134"/>
    </font>
    <font>
      <b/>
      <sz val="10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3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40" applyNumberFormat="0" applyAlignment="0" applyProtection="0">
      <alignment vertical="center"/>
    </xf>
    <xf numFmtId="0" fontId="25" fillId="7" borderId="41" applyNumberFormat="0" applyAlignment="0" applyProtection="0">
      <alignment vertical="center"/>
    </xf>
    <xf numFmtId="0" fontId="26" fillId="7" borderId="40" applyNumberFormat="0" applyAlignment="0" applyProtection="0">
      <alignment vertical="center"/>
    </xf>
    <xf numFmtId="0" fontId="27" fillId="8" borderId="42" applyNumberFormat="0" applyAlignment="0" applyProtection="0">
      <alignment vertical="center"/>
    </xf>
    <xf numFmtId="0" fontId="28" fillId="0" borderId="43" applyNumberFormat="0" applyFill="0" applyAlignment="0" applyProtection="0">
      <alignment vertical="center"/>
    </xf>
    <xf numFmtId="0" fontId="29" fillId="0" borderId="44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2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3" fontId="2" fillId="0" borderId="1" xfId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0" fontId="2" fillId="0" borderId="1" xfId="3" applyNumberFormat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6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43" fontId="1" fillId="0" borderId="6" xfId="0" applyNumberFormat="1" applyFont="1" applyBorder="1">
      <alignment vertical="center"/>
    </xf>
    <xf numFmtId="0" fontId="1" fillId="0" borderId="0" xfId="0" applyFont="1">
      <alignment vertical="center"/>
    </xf>
    <xf numFmtId="43" fontId="0" fillId="0" borderId="0" xfId="1" applyFont="1" applyAlignment="1">
      <alignment horizontal="center" vertical="center"/>
    </xf>
    <xf numFmtId="43" fontId="0" fillId="0" borderId="0" xfId="0" applyNumberFormat="1" applyFont="1">
      <alignment vertical="center"/>
    </xf>
    <xf numFmtId="43" fontId="1" fillId="0" borderId="0" xfId="0" applyNumberFormat="1" applyFont="1">
      <alignment vertical="center"/>
    </xf>
    <xf numFmtId="0" fontId="1" fillId="0" borderId="7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7" xfId="0" applyFont="1" applyBorder="1" applyAlignment="1">
      <alignment vertical="center"/>
    </xf>
    <xf numFmtId="43" fontId="0" fillId="0" borderId="7" xfId="1" applyFont="1" applyBorder="1" applyAlignment="1">
      <alignment horizontal="center" vertical="center"/>
    </xf>
    <xf numFmtId="43" fontId="0" fillId="0" borderId="7" xfId="1" applyFont="1" applyBorder="1">
      <alignment vertical="center"/>
    </xf>
    <xf numFmtId="43" fontId="0" fillId="0" borderId="7" xfId="0" applyNumberFormat="1" applyFont="1" applyBorder="1">
      <alignment vertical="center"/>
    </xf>
    <xf numFmtId="43" fontId="1" fillId="0" borderId="7" xfId="0" applyNumberFormat="1" applyFont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43" fontId="0" fillId="0" borderId="0" xfId="1" applyFont="1" applyFill="1">
      <alignment vertical="center"/>
    </xf>
    <xf numFmtId="43" fontId="0" fillId="0" borderId="0" xfId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>
      <alignment vertical="center"/>
    </xf>
    <xf numFmtId="0" fontId="0" fillId="0" borderId="7" xfId="0" applyFont="1" applyFill="1" applyBorder="1">
      <alignment vertical="center"/>
    </xf>
    <xf numFmtId="43" fontId="0" fillId="0" borderId="7" xfId="1" applyFont="1" applyFill="1" applyBorder="1">
      <alignment vertical="center"/>
    </xf>
    <xf numFmtId="43" fontId="0" fillId="0" borderId="7" xfId="1" applyFont="1" applyFill="1" applyBorder="1" applyAlignment="1">
      <alignment horizontal="center" vertical="center"/>
    </xf>
    <xf numFmtId="10" fontId="0" fillId="0" borderId="7" xfId="1" applyNumberFormat="1" applyFont="1" applyFill="1" applyBorder="1" applyAlignment="1">
      <alignment horizontal="center" vertical="center"/>
    </xf>
    <xf numFmtId="43" fontId="1" fillId="0" borderId="7" xfId="0" applyNumberFormat="1" applyFont="1" applyFill="1" applyBorder="1">
      <alignment vertical="center"/>
    </xf>
    <xf numFmtId="43" fontId="0" fillId="0" borderId="0" xfId="1" applyFont="1">
      <alignment vertical="center"/>
    </xf>
    <xf numFmtId="43" fontId="0" fillId="0" borderId="6" xfId="1" applyFont="1" applyBorder="1">
      <alignment vertical="center"/>
    </xf>
    <xf numFmtId="43" fontId="0" fillId="0" borderId="0" xfId="0" applyNumberFormat="1">
      <alignment vertical="center"/>
    </xf>
    <xf numFmtId="43" fontId="5" fillId="0" borderId="0" xfId="0" applyNumberFormat="1" applyFont="1">
      <alignment vertical="center"/>
    </xf>
    <xf numFmtId="0" fontId="5" fillId="0" borderId="0" xfId="0" applyFont="1">
      <alignment vertical="center"/>
    </xf>
    <xf numFmtId="43" fontId="0" fillId="0" borderId="0" xfId="0" applyNumberFormat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43" fontId="0" fillId="0" borderId="6" xfId="0" applyNumberFormat="1" applyFont="1" applyBorder="1">
      <alignment vertical="center"/>
    </xf>
    <xf numFmtId="10" fontId="0" fillId="0" borderId="0" xfId="1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6" xfId="0" applyFont="1" applyFill="1" applyBorder="1">
      <alignment vertical="center"/>
    </xf>
    <xf numFmtId="0" fontId="0" fillId="0" borderId="6" xfId="0" applyFont="1" applyFill="1" applyBorder="1">
      <alignment vertical="center"/>
    </xf>
    <xf numFmtId="43" fontId="1" fillId="0" borderId="6" xfId="0" applyNumberFormat="1" applyFont="1" applyFill="1" applyBorder="1">
      <alignment vertical="center"/>
    </xf>
    <xf numFmtId="43" fontId="0" fillId="0" borderId="0" xfId="1" applyFont="1" applyFill="1" applyAlignment="1">
      <alignment vertical="center"/>
    </xf>
    <xf numFmtId="0" fontId="1" fillId="0" borderId="7" xfId="0" applyFont="1" applyFill="1" applyBorder="1">
      <alignment vertical="center"/>
    </xf>
    <xf numFmtId="0" fontId="0" fillId="0" borderId="7" xfId="0" applyFont="1" applyFill="1" applyBorder="1" applyAlignment="1">
      <alignment horizontal="center" vertical="center"/>
    </xf>
    <xf numFmtId="43" fontId="0" fillId="0" borderId="7" xfId="0" applyNumberFormat="1" applyFont="1" applyFill="1" applyBorder="1">
      <alignment vertical="center"/>
    </xf>
    <xf numFmtId="43" fontId="1" fillId="0" borderId="0" xfId="0" applyNumberFormat="1" applyFont="1" applyFill="1">
      <alignment vertical="center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>
      <alignment vertical="center"/>
    </xf>
    <xf numFmtId="43" fontId="1" fillId="0" borderId="7" xfId="1" applyFont="1" applyFill="1" applyBorder="1">
      <alignment vertical="center"/>
    </xf>
    <xf numFmtId="176" fontId="0" fillId="0" borderId="0" xfId="1" applyNumberFormat="1" applyFont="1" applyFill="1">
      <alignment vertical="center"/>
    </xf>
    <xf numFmtId="176" fontId="0" fillId="0" borderId="0" xfId="1" applyNumberFormat="1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3" fontId="0" fillId="0" borderId="0" xfId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43" fontId="0" fillId="0" borderId="0" xfId="1" applyFont="1" applyFill="1" applyBorder="1">
      <alignment vertical="center"/>
    </xf>
    <xf numFmtId="43" fontId="0" fillId="0" borderId="0" xfId="0" applyNumberFormat="1" applyFont="1" applyFill="1" applyAlignment="1">
      <alignment horizontal="center" vertical="center"/>
    </xf>
    <xf numFmtId="43" fontId="1" fillId="0" borderId="0" xfId="1" applyFont="1" applyFill="1">
      <alignment vertical="center"/>
    </xf>
    <xf numFmtId="43" fontId="0" fillId="0" borderId="6" xfId="1" applyFont="1" applyFill="1" applyBorder="1">
      <alignment vertical="center"/>
    </xf>
    <xf numFmtId="43" fontId="0" fillId="0" borderId="0" xfId="1" applyNumberFormat="1" applyFont="1">
      <alignment vertical="center"/>
    </xf>
    <xf numFmtId="43" fontId="0" fillId="0" borderId="6" xfId="1" applyFont="1" applyBorder="1" applyAlignment="1">
      <alignment horizontal="center" vertical="center"/>
    </xf>
    <xf numFmtId="178" fontId="0" fillId="0" borderId="0" xfId="1" applyNumberFormat="1" applyFont="1" applyAlignment="1">
      <alignment vertical="center"/>
    </xf>
    <xf numFmtId="178" fontId="0" fillId="0" borderId="0" xfId="1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3" fontId="0" fillId="0" borderId="6" xfId="1" applyFont="1" applyFill="1" applyBorder="1" applyAlignment="1">
      <alignment horizontal="center" vertical="center"/>
    </xf>
    <xf numFmtId="43" fontId="0" fillId="0" borderId="6" xfId="0" applyNumberFormat="1" applyFont="1" applyFill="1" applyBorder="1">
      <alignment vertical="center"/>
    </xf>
    <xf numFmtId="41" fontId="0" fillId="0" borderId="0" xfId="0" applyNumberFormat="1" applyFont="1" applyFill="1">
      <alignment vertical="center"/>
    </xf>
    <xf numFmtId="178" fontId="0" fillId="0" borderId="0" xfId="1" applyNumberFormat="1" applyFont="1" applyFill="1" applyAlignment="1">
      <alignment horizontal="right" vertical="center"/>
    </xf>
    <xf numFmtId="43" fontId="0" fillId="0" borderId="0" xfId="1" applyFont="1" applyFill="1" applyAlignment="1">
      <alignment horizontal="right" vertical="center"/>
    </xf>
    <xf numFmtId="43" fontId="0" fillId="0" borderId="0" xfId="0" applyNumberFormat="1" applyFill="1">
      <alignment vertical="center"/>
    </xf>
    <xf numFmtId="0" fontId="5" fillId="0" borderId="0" xfId="0" applyFont="1" applyFill="1">
      <alignment vertical="center"/>
    </xf>
    <xf numFmtId="43" fontId="5" fillId="0" borderId="0" xfId="0" applyNumberFormat="1" applyFont="1" applyFill="1">
      <alignment vertical="center"/>
    </xf>
    <xf numFmtId="43" fontId="0" fillId="0" borderId="0" xfId="0" applyNumberForma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vertical="center"/>
    </xf>
    <xf numFmtId="0" fontId="0" fillId="0" borderId="12" xfId="0" applyFont="1" applyFill="1" applyBorder="1">
      <alignment vertical="center"/>
    </xf>
    <xf numFmtId="0" fontId="0" fillId="0" borderId="13" xfId="0" applyFont="1" applyFill="1" applyBorder="1">
      <alignment vertical="center"/>
    </xf>
    <xf numFmtId="0" fontId="1" fillId="0" borderId="14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43" fontId="0" fillId="0" borderId="1" xfId="1" applyFont="1" applyFill="1" applyBorder="1">
      <alignment vertical="center"/>
    </xf>
    <xf numFmtId="43" fontId="0" fillId="0" borderId="15" xfId="0" applyNumberFormat="1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4" xfId="0" applyFont="1" applyFill="1" applyBorder="1">
      <alignment vertical="center"/>
    </xf>
    <xf numFmtId="0" fontId="1" fillId="0" borderId="1" xfId="0" applyFont="1" applyFill="1" applyBorder="1">
      <alignment vertical="center"/>
    </xf>
    <xf numFmtId="43" fontId="0" fillId="0" borderId="1" xfId="0" applyNumberFormat="1" applyFont="1" applyFill="1" applyBorder="1">
      <alignment vertical="center"/>
    </xf>
    <xf numFmtId="43" fontId="1" fillId="0" borderId="15" xfId="0" applyNumberFormat="1" applyFont="1" applyFill="1" applyBorder="1">
      <alignment vertical="center"/>
    </xf>
    <xf numFmtId="179" fontId="6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43" fontId="0" fillId="0" borderId="15" xfId="0" applyNumberFormat="1" applyFont="1" applyFill="1" applyBorder="1" applyAlignment="1">
      <alignment horizontal="center" vertical="center"/>
    </xf>
    <xf numFmtId="179" fontId="6" fillId="0" borderId="1" xfId="1" applyNumberFormat="1" applyFont="1" applyFill="1" applyBorder="1" applyAlignment="1">
      <alignment vertical="center"/>
    </xf>
    <xf numFmtId="179" fontId="0" fillId="0" borderId="1" xfId="1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right" vertical="center"/>
    </xf>
    <xf numFmtId="43" fontId="0" fillId="0" borderId="1" xfId="1" applyFont="1" applyFill="1" applyBorder="1" applyAlignment="1">
      <alignment horizontal="right" vertical="center"/>
    </xf>
    <xf numFmtId="43" fontId="0" fillId="0" borderId="1" xfId="1" applyFont="1" applyFill="1" applyBorder="1" applyAlignment="1">
      <alignment horizontal="center" vertical="center"/>
    </xf>
    <xf numFmtId="43" fontId="0" fillId="0" borderId="15" xfId="0" applyNumberFormat="1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0" fontId="0" fillId="0" borderId="1" xfId="1" applyNumberFormat="1" applyFont="1" applyFill="1" applyBorder="1">
      <alignment vertical="center"/>
    </xf>
    <xf numFmtId="43" fontId="1" fillId="0" borderId="1" xfId="1" applyFont="1" applyFill="1" applyBorder="1" applyAlignment="1">
      <alignment horizontal="center" vertical="center"/>
    </xf>
    <xf numFmtId="43" fontId="1" fillId="0" borderId="15" xfId="0" applyNumberFormat="1" applyFont="1" applyFill="1" applyBorder="1" applyAlignment="1">
      <alignment horizontal="center" vertical="center"/>
    </xf>
    <xf numFmtId="43" fontId="0" fillId="0" borderId="15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43" fontId="0" fillId="0" borderId="15" xfId="1" applyFont="1" applyFill="1" applyBorder="1">
      <alignment vertical="center"/>
    </xf>
    <xf numFmtId="43" fontId="1" fillId="0" borderId="15" xfId="1" applyFont="1" applyFill="1" applyBorder="1">
      <alignment vertical="center"/>
    </xf>
    <xf numFmtId="43" fontId="1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43" fontId="0" fillId="0" borderId="2" xfId="1" applyFont="1" applyFill="1" applyBorder="1">
      <alignment vertical="center"/>
    </xf>
    <xf numFmtId="176" fontId="0" fillId="0" borderId="1" xfId="1" applyNumberFormat="1" applyFont="1" applyFill="1" applyBorder="1">
      <alignment vertical="center"/>
    </xf>
    <xf numFmtId="43" fontId="0" fillId="0" borderId="15" xfId="0" applyNumberFormat="1" applyFill="1" applyBorder="1">
      <alignment vertical="center"/>
    </xf>
    <xf numFmtId="0" fontId="1" fillId="0" borderId="16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0" fillId="0" borderId="17" xfId="0" applyFont="1" applyFill="1" applyBorder="1">
      <alignment vertical="center"/>
    </xf>
    <xf numFmtId="43" fontId="0" fillId="0" borderId="17" xfId="1" applyFont="1" applyFill="1" applyBorder="1">
      <alignment vertical="center"/>
    </xf>
    <xf numFmtId="43" fontId="0" fillId="0" borderId="17" xfId="0" applyNumberFormat="1" applyFont="1" applyFill="1" applyBorder="1">
      <alignment vertical="center"/>
    </xf>
    <xf numFmtId="43" fontId="1" fillId="0" borderId="18" xfId="0" applyNumberFormat="1" applyFont="1" applyFill="1" applyBorder="1">
      <alignment vertical="center"/>
    </xf>
    <xf numFmtId="43" fontId="0" fillId="0" borderId="0" xfId="1" applyFont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43" fontId="0" fillId="0" borderId="24" xfId="1" applyFont="1" applyFill="1" applyBorder="1" applyAlignment="1">
      <alignment horizontal="center" vertical="center" wrapText="1"/>
    </xf>
    <xf numFmtId="43" fontId="0" fillId="0" borderId="14" xfId="1" applyFont="1" applyFill="1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43" fontId="0" fillId="0" borderId="15" xfId="1" applyFont="1" applyFill="1" applyBorder="1" applyAlignment="1">
      <alignment horizontal="center" vertical="center" wrapText="1"/>
    </xf>
    <xf numFmtId="43" fontId="0" fillId="2" borderId="11" xfId="1" applyFont="1" applyFill="1" applyBorder="1" applyAlignment="1">
      <alignment horizontal="center" vertical="center" wrapText="1"/>
    </xf>
    <xf numFmtId="43" fontId="0" fillId="2" borderId="13" xfId="1" applyFont="1" applyFill="1" applyBorder="1" applyAlignment="1">
      <alignment horizontal="center" vertical="center" wrapText="1"/>
    </xf>
    <xf numFmtId="43" fontId="0" fillId="0" borderId="11" xfId="1" applyFont="1" applyFill="1" applyBorder="1" applyAlignment="1">
      <alignment horizontal="center" vertical="center" wrapText="1"/>
    </xf>
    <xf numFmtId="43" fontId="0" fillId="0" borderId="12" xfId="1" applyFont="1" applyFill="1" applyBorder="1" applyAlignment="1">
      <alignment horizontal="center" vertical="center" wrapText="1"/>
    </xf>
    <xf numFmtId="43" fontId="0" fillId="0" borderId="25" xfId="1" applyFont="1" applyFill="1" applyBorder="1" applyAlignment="1">
      <alignment horizontal="center" vertical="center" wrapText="1"/>
    </xf>
    <xf numFmtId="43" fontId="0" fillId="0" borderId="26" xfId="1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textRotation="255"/>
    </xf>
    <xf numFmtId="43" fontId="0" fillId="0" borderId="14" xfId="1" applyFont="1" applyFill="1" applyBorder="1">
      <alignment vertical="center"/>
    </xf>
    <xf numFmtId="43" fontId="0" fillId="0" borderId="14" xfId="0" applyNumberFormat="1" applyFill="1" applyBorder="1">
      <alignment vertical="center"/>
    </xf>
    <xf numFmtId="43" fontId="0" fillId="0" borderId="1" xfId="0" applyNumberFormat="1" applyFill="1" applyBorder="1">
      <alignment vertical="center"/>
    </xf>
    <xf numFmtId="43" fontId="0" fillId="0" borderId="2" xfId="0" applyNumberFormat="1" applyFill="1" applyBorder="1">
      <alignment vertical="center"/>
    </xf>
    <xf numFmtId="43" fontId="0" fillId="0" borderId="27" xfId="0" applyNumberFormat="1" applyFill="1" applyBorder="1">
      <alignment vertical="center"/>
    </xf>
    <xf numFmtId="0" fontId="0" fillId="0" borderId="14" xfId="0" applyFont="1" applyFill="1" applyBorder="1" applyAlignment="1">
      <alignment vertical="center" textRotation="255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43" fontId="0" fillId="0" borderId="18" xfId="1" applyFont="1" applyFill="1" applyBorder="1">
      <alignment vertical="center"/>
    </xf>
    <xf numFmtId="43" fontId="0" fillId="0" borderId="16" xfId="1" applyFont="1" applyFill="1" applyBorder="1">
      <alignment vertical="center"/>
    </xf>
    <xf numFmtId="43" fontId="0" fillId="0" borderId="16" xfId="0" applyNumberFormat="1" applyFill="1" applyBorder="1">
      <alignment vertical="center"/>
    </xf>
    <xf numFmtId="43" fontId="0" fillId="0" borderId="17" xfId="0" applyNumberFormat="1" applyFill="1" applyBorder="1">
      <alignment vertical="center"/>
    </xf>
    <xf numFmtId="43" fontId="0" fillId="0" borderId="28" xfId="1" applyFont="1" applyFill="1" applyBorder="1">
      <alignment vertical="center"/>
    </xf>
    <xf numFmtId="43" fontId="1" fillId="0" borderId="29" xfId="1" applyFont="1" applyFill="1" applyBorder="1">
      <alignment vertical="center"/>
    </xf>
    <xf numFmtId="43" fontId="0" fillId="0" borderId="1" xfId="1" applyFont="1" applyBorder="1">
      <alignment vertical="center"/>
    </xf>
    <xf numFmtId="49" fontId="0" fillId="0" borderId="0" xfId="0" applyNumberFormat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Border="1" applyAlignment="1">
      <alignment horizontal="left" vertical="center"/>
    </xf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43" fontId="0" fillId="0" borderId="0" xfId="1" applyFont="1" applyBorder="1">
      <alignment vertical="center"/>
    </xf>
    <xf numFmtId="4" fontId="0" fillId="0" borderId="0" xfId="0" applyNumberFormat="1" applyFont="1" applyBorder="1">
      <alignment vertical="center"/>
    </xf>
    <xf numFmtId="177" fontId="0" fillId="0" borderId="0" xfId="0" applyNumberFormat="1" applyFont="1" applyBorder="1">
      <alignment vertical="center"/>
    </xf>
    <xf numFmtId="0" fontId="0" fillId="0" borderId="7" xfId="0" applyBorder="1">
      <alignment vertical="center"/>
    </xf>
    <xf numFmtId="43" fontId="1" fillId="0" borderId="7" xfId="1" applyFont="1" applyBorder="1">
      <alignment vertical="center"/>
    </xf>
    <xf numFmtId="49" fontId="1" fillId="0" borderId="7" xfId="0" applyNumberFormat="1" applyFont="1" applyBorder="1" applyAlignment="1">
      <alignment vertical="center" wrapText="1"/>
    </xf>
    <xf numFmtId="0" fontId="1" fillId="0" borderId="30" xfId="0" applyFont="1" applyBorder="1" applyAlignment="1">
      <alignment horizontal="left" vertical="center"/>
    </xf>
    <xf numFmtId="43" fontId="0" fillId="0" borderId="30" xfId="1" applyFont="1" applyBorder="1">
      <alignment vertical="center"/>
    </xf>
    <xf numFmtId="0" fontId="0" fillId="0" borderId="30" xfId="0" applyFont="1" applyBorder="1">
      <alignment vertical="center"/>
    </xf>
    <xf numFmtId="49" fontId="0" fillId="0" borderId="30" xfId="0" applyNumberFormat="1" applyFont="1" applyBorder="1" applyAlignment="1">
      <alignment vertical="center" wrapText="1"/>
    </xf>
    <xf numFmtId="4" fontId="0" fillId="0" borderId="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43" fontId="0" fillId="0" borderId="31" xfId="1" applyFont="1" applyBorder="1">
      <alignment vertical="center"/>
    </xf>
    <xf numFmtId="0" fontId="0" fillId="0" borderId="31" xfId="0" applyBorder="1">
      <alignment vertical="center"/>
    </xf>
    <xf numFmtId="49" fontId="0" fillId="0" borderId="31" xfId="0" applyNumberForma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49" fontId="0" fillId="0" borderId="7" xfId="0" applyNumberFormat="1" applyBorder="1" applyAlignment="1">
      <alignment vertical="center" wrapText="1"/>
    </xf>
    <xf numFmtId="177" fontId="0" fillId="0" borderId="0" xfId="0" applyNumberFormat="1" applyFont="1">
      <alignment vertical="center"/>
    </xf>
    <xf numFmtId="43" fontId="1" fillId="0" borderId="7" xfId="1" applyFont="1" applyFill="1" applyBorder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43" fontId="0" fillId="0" borderId="0" xfId="1" applyFont="1" applyAlignment="1">
      <alignment vertical="center"/>
    </xf>
    <xf numFmtId="0" fontId="9" fillId="0" borderId="0" xfId="0" applyFont="1">
      <alignment vertical="center"/>
    </xf>
    <xf numFmtId="0" fontId="10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43" fontId="0" fillId="0" borderId="12" xfId="1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" xfId="0" applyFont="1" applyBorder="1">
      <alignment vertical="center"/>
    </xf>
    <xf numFmtId="43" fontId="1" fillId="0" borderId="1" xfId="1" applyFont="1" applyBorder="1">
      <alignment vertical="center"/>
    </xf>
    <xf numFmtId="0" fontId="5" fillId="0" borderId="15" xfId="0" applyFont="1" applyBorder="1">
      <alignment vertical="center"/>
    </xf>
    <xf numFmtId="0" fontId="0" fillId="0" borderId="14" xfId="0" applyFont="1" applyBorder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>
      <alignment vertical="center"/>
    </xf>
    <xf numFmtId="10" fontId="0" fillId="0" borderId="15" xfId="3" applyNumberFormat="1" applyFont="1" applyBorder="1">
      <alignment vertical="center"/>
    </xf>
    <xf numFmtId="0" fontId="1" fillId="3" borderId="16" xfId="0" applyFont="1" applyFill="1" applyBorder="1">
      <alignment vertical="center"/>
    </xf>
    <xf numFmtId="0" fontId="1" fillId="0" borderId="17" xfId="0" applyFont="1" applyBorder="1">
      <alignment vertical="center"/>
    </xf>
    <xf numFmtId="43" fontId="0" fillId="0" borderId="17" xfId="1" applyFont="1" applyBorder="1">
      <alignment vertical="center"/>
    </xf>
    <xf numFmtId="40" fontId="1" fillId="0" borderId="17" xfId="1" applyNumberFormat="1" applyFont="1" applyFill="1" applyBorder="1">
      <alignment vertical="center"/>
    </xf>
    <xf numFmtId="10" fontId="5" fillId="0" borderId="18" xfId="3" applyNumberFormat="1" applyFont="1" applyBorder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1" xfId="0" applyFont="1" applyBorder="1">
      <alignment vertical="center"/>
    </xf>
    <xf numFmtId="0" fontId="13" fillId="0" borderId="12" xfId="0" applyFont="1" applyBorder="1">
      <alignment vertical="center"/>
    </xf>
    <xf numFmtId="43" fontId="13" fillId="0" borderId="12" xfId="1" applyFont="1" applyBorder="1">
      <alignment vertical="center"/>
    </xf>
    <xf numFmtId="40" fontId="12" fillId="0" borderId="12" xfId="1" applyNumberFormat="1" applyFont="1" applyBorder="1">
      <alignment vertical="center"/>
    </xf>
    <xf numFmtId="0" fontId="13" fillId="0" borderId="33" xfId="0" applyFont="1" applyBorder="1" applyAlignment="1">
      <alignment horizontal="center" vertical="center"/>
    </xf>
    <xf numFmtId="0" fontId="12" fillId="0" borderId="34" xfId="0" applyFont="1" applyBorder="1">
      <alignment vertical="center"/>
    </xf>
    <xf numFmtId="43" fontId="13" fillId="0" borderId="34" xfId="1" applyFont="1" applyBorder="1">
      <alignment vertical="center"/>
    </xf>
    <xf numFmtId="40" fontId="12" fillId="0" borderId="34" xfId="1" applyNumberFormat="1" applyFont="1" applyBorder="1">
      <alignment vertical="center"/>
    </xf>
    <xf numFmtId="10" fontId="0" fillId="0" borderId="15" xfId="0" applyNumberFormat="1" applyBorder="1">
      <alignment vertical="center"/>
    </xf>
    <xf numFmtId="0" fontId="13" fillId="0" borderId="1" xfId="0" applyFont="1" applyBorder="1">
      <alignment vertical="center"/>
    </xf>
    <xf numFmtId="43" fontId="13" fillId="0" borderId="1" xfId="1" applyFont="1" applyBorder="1">
      <alignment vertical="center"/>
    </xf>
    <xf numFmtId="40" fontId="12" fillId="0" borderId="1" xfId="1" applyNumberFormat="1" applyFont="1" applyBorder="1">
      <alignment vertical="center"/>
    </xf>
    <xf numFmtId="10" fontId="0" fillId="0" borderId="15" xfId="0" applyNumberFormat="1" applyFont="1" applyBorder="1">
      <alignment vertical="center"/>
    </xf>
    <xf numFmtId="0" fontId="13" fillId="0" borderId="35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43" fontId="14" fillId="0" borderId="1" xfId="1" applyFont="1" applyBorder="1">
      <alignment vertical="center"/>
    </xf>
    <xf numFmtId="40" fontId="12" fillId="4" borderId="1" xfId="1" applyNumberFormat="1" applyFont="1" applyFill="1" applyBorder="1">
      <alignment vertical="center"/>
    </xf>
    <xf numFmtId="10" fontId="0" fillId="4" borderId="15" xfId="0" applyNumberFormat="1" applyFont="1" applyFill="1" applyBorder="1">
      <alignment vertical="center"/>
    </xf>
    <xf numFmtId="180" fontId="3" fillId="0" borderId="0" xfId="0" applyNumberFormat="1" applyFont="1">
      <alignment vertical="center"/>
    </xf>
    <xf numFmtId="0" fontId="1" fillId="0" borderId="36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40" fontId="1" fillId="4" borderId="1" xfId="1" applyNumberFormat="1" applyFont="1" applyFill="1" applyBorder="1">
      <alignment vertical="center"/>
    </xf>
    <xf numFmtId="180" fontId="0" fillId="0" borderId="0" xfId="0" applyNumberFormat="1" applyFont="1">
      <alignment vertical="center"/>
    </xf>
    <xf numFmtId="0" fontId="1" fillId="0" borderId="33" xfId="0" applyFont="1" applyBorder="1" applyAlignment="1">
      <alignment horizontal="center" vertical="center"/>
    </xf>
    <xf numFmtId="43" fontId="0" fillId="4" borderId="1" xfId="1" applyFont="1" applyFill="1" applyBorder="1">
      <alignment vertical="center"/>
    </xf>
    <xf numFmtId="180" fontId="0" fillId="0" borderId="1" xfId="0" applyNumberFormat="1" applyFont="1" applyFill="1" applyBorder="1">
      <alignment vertical="center"/>
    </xf>
    <xf numFmtId="180" fontId="0" fillId="4" borderId="0" xfId="0" applyNumberFormat="1" applyFont="1" applyFill="1">
      <alignment vertical="center"/>
    </xf>
    <xf numFmtId="43" fontId="0" fillId="4" borderId="1" xfId="1" applyFont="1" applyFill="1" applyBorder="1" applyAlignment="1">
      <alignment vertical="center"/>
    </xf>
    <xf numFmtId="40" fontId="0" fillId="4" borderId="1" xfId="1" applyNumberFormat="1" applyFont="1" applyFill="1" applyBorder="1">
      <alignment vertical="center"/>
    </xf>
    <xf numFmtId="0" fontId="1" fillId="0" borderId="3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" xfId="0" applyFont="1" applyFill="1" applyBorder="1">
      <alignment vertical="center"/>
    </xf>
    <xf numFmtId="0" fontId="1" fillId="3" borderId="14" xfId="0" applyFont="1" applyFill="1" applyBorder="1">
      <alignment vertical="center"/>
    </xf>
    <xf numFmtId="40" fontId="1" fillId="0" borderId="1" xfId="1" applyNumberFormat="1" applyFont="1" applyFill="1" applyBorder="1">
      <alignment vertical="center"/>
    </xf>
    <xf numFmtId="180" fontId="1" fillId="0" borderId="0" xfId="0" applyNumberFormat="1" applyFont="1">
      <alignment vertical="center"/>
    </xf>
    <xf numFmtId="4" fontId="1" fillId="0" borderId="17" xfId="1" applyNumberFormat="1" applyFont="1" applyFill="1" applyBorder="1">
      <alignment vertical="center"/>
    </xf>
    <xf numFmtId="10" fontId="0" fillId="4" borderId="18" xfId="0" applyNumberFormat="1" applyFont="1" applyFill="1" applyBorder="1">
      <alignment vertical="center"/>
    </xf>
    <xf numFmtId="43" fontId="5" fillId="0" borderId="1" xfId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rPr lang="zh-CN" altLang="en-US" sz="4400" b="0" i="0" u="none" strike="noStrike" baseline="0">
                <a:solidFill>
                  <a:srgbClr val="333333"/>
                </a:solidFill>
                <a:latin typeface="华文隶书"/>
                <a:ea typeface="华文隶书"/>
              </a:rPr>
              <a:t>某某小区物业维护基金的资金年度支出预算案</a:t>
            </a:r>
            <a:endParaRPr lang="zh-CN" altLang="en-US" sz="4400" b="0" i="0" u="none" strike="noStrike" baseline="0">
              <a:solidFill>
                <a:srgbClr val="333333"/>
              </a:solidFill>
              <a:latin typeface="华文隶书"/>
              <a:ea typeface="华文隶书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3270513232465"/>
          <c:y val="0.298511418140067"/>
          <c:w val="0.368547763363161"/>
          <c:h val="0.515813024320902"/>
        </c:manualLayout>
      </c:layout>
      <c:pieChart>
        <c:varyColors val="1"/>
        <c:ser>
          <c:idx val="0"/>
          <c:order val="0"/>
          <c:explosion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Pt>
            <c:idx val="8"/>
            <c:bubble3D val="0"/>
          </c:dPt>
          <c:dPt>
            <c:idx val="9"/>
            <c:bubble3D val="0"/>
          </c:dPt>
          <c:dLbls>
            <c:dLbl>
              <c:idx val="0"/>
              <c:layout>
                <c:manualLayout>
                  <c:x val="0.119925304339371"/>
                  <c:y val="0.0528502115114949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05230763102666"/>
                  <c:y val="-0.0363273966890255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61650829824547"/>
                  <c:y val="-0.00792070260801242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0750127883089119"/>
                  <c:y val="0.0597126818153709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0197511809775843"/>
                  <c:y val="0.0710571885374972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00111941309938"/>
                  <c:y val="0.0995256695530094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0.057958953569424"/>
                  <c:y val="0.0234505263614776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107551232191176"/>
                  <c:y val="-0.0720426929322182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0.129043548885658"/>
                  <c:y val="-0.147892480697329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0.0118627263008452"/>
                  <c:y val="-0.103776090739394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000000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 w="25400"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600" b="0" i="0" u="none" strike="noStrike" kern="1200" baseline="0">
                    <a:solidFill>
                      <a:srgbClr val="333333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3175" cap="flat" cmpd="sng" algn="ctr">
                      <a:solidFill>
                        <a:srgbClr val="969696"/>
                      </a:solidFill>
                      <a:prstDash val="solid"/>
                      <a:round/>
                    </a:ln>
                  </c:spPr>
                </c15:leaderLines>
              </c:ext>
            </c:extLst>
          </c:dLbls>
          <c:cat>
            <c:strRef>
              <c:f>预算汇总!$C$67:$C$76</c:f>
              <c:strCache>
                <c:ptCount val="10"/>
                <c:pt idx="0">
                  <c:v>（一）管理服务人员的工资、社会保险和按规定提取的福利费等</c:v>
                </c:pt>
                <c:pt idx="1">
                  <c:v>（二）物业共用部位、共用设施设备的日常运行、维护费用</c:v>
                </c:pt>
                <c:pt idx="2">
                  <c:v>（三）物业管理区域清洁卫生费用</c:v>
                </c:pt>
                <c:pt idx="3">
                  <c:v>（四）物业管理区域绿化养护费用</c:v>
                </c:pt>
                <c:pt idx="4">
                  <c:v>（五）物业管理区域秩序维护费用</c:v>
                </c:pt>
                <c:pt idx="5">
                  <c:v>（六）行政办公费用</c:v>
                </c:pt>
                <c:pt idx="6">
                  <c:v>（七）前期开办费用摊销</c:v>
                </c:pt>
                <c:pt idx="7">
                  <c:v>（八）物业共用部位、共用设施设备及公众责任保险费用</c:v>
                </c:pt>
                <c:pt idx="8">
                  <c:v>（九）税费和其它费用</c:v>
                </c:pt>
                <c:pt idx="9">
                  <c:v>（十）管理者酬金(10%）</c:v>
                </c:pt>
              </c:strCache>
            </c:strRef>
          </c:cat>
          <c:val>
            <c:numRef>
              <c:f>预算汇总!$D$67:$D$76</c:f>
              <c:numCache>
                <c:formatCode>_ * #,##0.00_ ;_ * \-#,##0.00_ ;_ * "-"??_ ;_ @_ </c:formatCode>
                <c:ptCount val="10"/>
                <c:pt idx="0">
                  <c:v>1404861.25</c:v>
                </c:pt>
                <c:pt idx="1">
                  <c:v>939140</c:v>
                </c:pt>
                <c:pt idx="2">
                  <c:v>546000</c:v>
                </c:pt>
                <c:pt idx="3">
                  <c:v>134100</c:v>
                </c:pt>
                <c:pt idx="4">
                  <c:v>688000</c:v>
                </c:pt>
                <c:pt idx="5">
                  <c:v>84599</c:v>
                </c:pt>
                <c:pt idx="6">
                  <c:v>66666.6666666667</c:v>
                </c:pt>
                <c:pt idx="7">
                  <c:v>60000</c:v>
                </c:pt>
                <c:pt idx="8">
                  <c:v>285576.38112</c:v>
                </c:pt>
                <c:pt idx="9">
                  <c:v>420894.329778667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  <c:spPr>
        <a:noFill/>
        <a:ln w="25400">
          <a:noFill/>
        </a:ln>
      </c:spPr>
    </c:plotArea>
    <c:plotVisOnly val="1"/>
    <c:dispBlanksAs val="zero"/>
    <c:showDLblsOverMax val="0"/>
    <c:extLst>
      <c:ext uri="{0b15fc19-7d7d-44ad-8c2d-2c3a37ce22c3}">
        <chartProps xmlns="https://web.wps.cn/et/2018/main" chartId="{e4e7f897-76ae-4be6-911e-844e3b8e74d3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zh-CN" sz="10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zh-CN" sz="900" b="0" i="0" u="none" strike="noStrike" kern="1200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  <a:r>
              <a:rPr lang="zh-CN" altLang="en-US" sz="4400" b="0" i="0" baseline="0">
                <a:latin typeface="华文隶书" pitchFamily="2" charset="-122"/>
                <a:ea typeface="华文隶书" pitchFamily="2" charset="-122"/>
              </a:rPr>
              <a:t>某某小区物业维护基金的资金年度收入预算案</a:t>
            </a:r>
            <a:endParaRPr lang="zh-CN" altLang="en-US" sz="4400" b="0" i="0" baseline="0">
              <a:latin typeface="华文隶书" pitchFamily="2" charset="-122"/>
              <a:ea typeface="华文隶书" pitchFamily="2" charset="-122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85611653289763"/>
          <c:y val="0.346112426820884"/>
          <c:w val="0.36981583353265"/>
          <c:h val="0.57203107658158"/>
        </c:manualLayout>
      </c:layout>
      <c:pieChart>
        <c:varyColors val="1"/>
        <c:ser>
          <c:idx val="0"/>
          <c:order val="0"/>
          <c:explosion val="0"/>
          <c:dPt>
            <c:idx val="0"/>
            <c:bubble3D val="0"/>
            <c:spPr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"/>
            <c:bubble3D val="0"/>
            <c:spPr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2"/>
            <c:bubble3D val="0"/>
            <c:spPr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3"/>
            <c:bubble3D val="0"/>
            <c:spPr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4"/>
            <c:bubble3D val="0"/>
            <c:spPr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5"/>
            <c:bubble3D val="0"/>
            <c:spPr>
              <a:ln w="12700">
                <a:solidFill>
                  <a:srgbClr val="FFFFFF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0570311761604517"/>
                  <c:y val="0.0107317905244879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333333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0715255770231538"/>
                  <c:y val="0.103211446791547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333333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19248450757313"/>
                  <c:y val="0.0497481774009979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333333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48875973472137"/>
                  <c:y val="-0.0189591545129346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333333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0566232615857276"/>
                  <c:y val="-0.0553871225089619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333333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0448409250590147"/>
                  <c:y val="-0.0719416848027361"/>
                </c:manualLayout>
              </c:layout>
              <c:numFmt formatCode="0.00%" sourceLinked="0"/>
              <c:spPr>
                <a:noFill/>
                <a:ln w="25400">
                  <a:noFill/>
                </a:ln>
                <a:effectLst/>
              </c:spPr>
              <c:txPr>
                <a:bodyPr rot="0" spcFirstLastPara="0" vertOverflow="ellipsis" vert="horz" wrap="square" lIns="38100" tIns="19050" rIns="38100" bIns="19050" anchor="ctr" anchorCtr="1"/>
                <a:lstStyle/>
                <a:p>
                  <a:pPr>
                    <a:defRPr lang="zh-CN" sz="1600" b="0" i="0" u="none" strike="noStrike" kern="1200" baseline="0">
                      <a:solidFill>
                        <a:srgbClr val="333333"/>
                      </a:solidFill>
                      <a:latin typeface="宋体" panose="02010600030101010101" pitchFamily="7" charset="-122"/>
                      <a:ea typeface="宋体" panose="02010600030101010101" pitchFamily="7" charset="-122"/>
                      <a:cs typeface="宋体" panose="02010600030101010101" pitchFamily="7" charset="-122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 w="25400"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zh-CN" sz="1600" b="0" i="0" u="none" strike="noStrike" kern="1200" baseline="0">
                    <a:solidFill>
                      <a:srgbClr val="333333"/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/>
              </c:ext>
            </c:extLst>
          </c:dLbls>
          <c:cat>
            <c:strRef>
              <c:f>收入明细!$C$21:$C$26</c:f>
              <c:strCache>
                <c:ptCount val="6"/>
                <c:pt idx="0">
                  <c:v>住宅</c:v>
                </c:pt>
                <c:pt idx="1">
                  <c:v>地下室</c:v>
                </c:pt>
                <c:pt idx="2">
                  <c:v>商业</c:v>
                </c:pt>
                <c:pt idx="3">
                  <c:v>幼儿园</c:v>
                </c:pt>
                <c:pt idx="4">
                  <c:v>地下车位管理费</c:v>
                </c:pt>
                <c:pt idx="5">
                  <c:v>其他管理费收入（装修管理费等）</c:v>
                </c:pt>
              </c:strCache>
            </c:strRef>
          </c:cat>
          <c:val>
            <c:numRef>
              <c:f>收入明细!$M$21:$M$26</c:f>
              <c:numCache>
                <c:formatCode>_ * #,##0.00_ ;_ * \-#,##0.00_ ;_ * "-"??_ ;_ @_ </c:formatCode>
                <c:ptCount val="6"/>
                <c:pt idx="0">
                  <c:v>3033245.394</c:v>
                </c:pt>
                <c:pt idx="1">
                  <c:v>82470.672</c:v>
                </c:pt>
                <c:pt idx="2">
                  <c:v>289725.336</c:v>
                </c:pt>
                <c:pt idx="3">
                  <c:v>0</c:v>
                </c:pt>
                <c:pt idx="4">
                  <c:v>613800</c:v>
                </c:pt>
                <c:pt idx="5">
                  <c:v>665364.95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  <c:extLst>
      <c:ext uri="{0b15fc19-7d7d-44ad-8c2d-2c3a37ce22c3}">
        <chartProps xmlns="https://web.wps.cn/et/2018/main" chartId="{1b8540ea-4f1c-4265-9cb0-059d9e8f6b47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zh-CN" sz="9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1428750</xdr:colOff>
      <xdr:row>0</xdr:row>
      <xdr:rowOff>223838</xdr:rowOff>
    </xdr:from>
    <xdr:to>
      <xdr:col>28</xdr:col>
      <xdr:colOff>457200</xdr:colOff>
      <xdr:row>34</xdr:row>
      <xdr:rowOff>23813</xdr:rowOff>
    </xdr:to>
    <xdr:graphicFrame>
      <xdr:nvGraphicFramePr>
        <xdr:cNvPr id="54500" name="图表 8"/>
        <xdr:cNvGraphicFramePr/>
      </xdr:nvGraphicFramePr>
      <xdr:xfrm>
        <a:off x="15001875" y="223520"/>
        <a:ext cx="15982950" cy="105848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119062</xdr:colOff>
      <xdr:row>35</xdr:row>
      <xdr:rowOff>261939</xdr:rowOff>
    </xdr:from>
    <xdr:to>
      <xdr:col>28</xdr:col>
      <xdr:colOff>500062</xdr:colOff>
      <xdr:row>81</xdr:row>
      <xdr:rowOff>133351</xdr:rowOff>
    </xdr:to>
    <xdr:graphicFrame>
      <xdr:nvGraphicFramePr>
        <xdr:cNvPr id="54501" name="图表 2"/>
        <xdr:cNvGraphicFramePr/>
      </xdr:nvGraphicFramePr>
      <xdr:xfrm>
        <a:off x="15187295" y="11332210"/>
        <a:ext cx="15840075" cy="11399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G76"/>
  <sheetViews>
    <sheetView tabSelected="1" zoomScale="130" zoomScaleNormal="130" workbookViewId="0">
      <selection activeCell="C23" sqref="C23"/>
    </sheetView>
  </sheetViews>
  <sheetFormatPr defaultColWidth="9" defaultRowHeight="14.25" outlineLevelCol="6"/>
  <cols>
    <col min="2" max="2" width="3.75" customWidth="1"/>
    <col min="3" max="3" width="95.125" customWidth="1"/>
    <col min="4" max="4" width="30.125" style="53" customWidth="1"/>
    <col min="5" max="5" width="27.5" customWidth="1"/>
    <col min="6" max="6" width="12.625" customWidth="1"/>
    <col min="7" max="7" width="19.625" customWidth="1"/>
    <col min="8" max="8" width="15.375" customWidth="1"/>
    <col min="10" max="10" width="12.625" customWidth="1"/>
    <col min="11" max="11" width="12.875" customWidth="1"/>
  </cols>
  <sheetData>
    <row r="1" ht="98.25" customHeight="1" spans="2:7">
      <c r="B1" s="230" t="s">
        <v>0</v>
      </c>
      <c r="C1" s="231"/>
      <c r="D1" s="231"/>
      <c r="E1" s="231"/>
      <c r="F1" s="231"/>
    </row>
    <row r="2" ht="22.5" customHeight="1" spans="2:7">
      <c r="B2" s="232"/>
      <c r="C2" s="233"/>
      <c r="D2" s="234"/>
      <c r="E2" s="233"/>
      <c r="F2" s="235" t="s">
        <v>1</v>
      </c>
    </row>
    <row r="3" s="57" customFormat="1" ht="22.5" customHeight="1" spans="2:7">
      <c r="B3" s="236" t="s">
        <v>2</v>
      </c>
      <c r="C3" s="237"/>
      <c r="D3" s="193"/>
      <c r="E3" s="238"/>
      <c r="F3" s="239"/>
    </row>
    <row r="4" ht="22.5" customHeight="1" spans="2:7">
      <c r="B4" s="240"/>
      <c r="C4" s="241" t="s">
        <v>3</v>
      </c>
      <c r="D4" s="193">
        <f>SUM(收入明细!M8)</f>
        <v>3405441.402</v>
      </c>
      <c r="E4" s="242"/>
      <c r="F4" s="243">
        <f>D4/$E$7</f>
        <v>0.726942916035221</v>
      </c>
    </row>
    <row r="5" ht="22.5" customHeight="1" spans="2:7">
      <c r="B5" s="240"/>
      <c r="C5" s="241" t="s">
        <v>4</v>
      </c>
      <c r="D5" s="193">
        <f>SUM(收入明细!M12)</f>
        <v>613800</v>
      </c>
      <c r="E5" s="242"/>
      <c r="F5" s="243">
        <f>D5/$E$7</f>
        <v>0.13102488317678</v>
      </c>
    </row>
    <row r="6" ht="22.5" customHeight="1" spans="2:7">
      <c r="B6" s="240"/>
      <c r="C6" s="242" t="s">
        <v>5</v>
      </c>
      <c r="D6" s="193">
        <f>SUM(收入明细!M16)</f>
        <v>665364.95</v>
      </c>
      <c r="E6" s="242"/>
      <c r="F6" s="243">
        <f>D6/$E$7</f>
        <v>0.142032200787999</v>
      </c>
    </row>
    <row r="7" s="57" customFormat="1" ht="22.5" customHeight="1" spans="2:7">
      <c r="B7" s="244" t="s">
        <v>6</v>
      </c>
      <c r="C7" s="245"/>
      <c r="D7" s="246"/>
      <c r="E7" s="247">
        <f>SUM(D4+D5+D6)</f>
        <v>4684606.352</v>
      </c>
      <c r="F7" s="248">
        <f>SUM(F4:F6)</f>
        <v>1</v>
      </c>
    </row>
    <row r="8" ht="30.95" customHeight="1" spans="2:7">
      <c r="B8" s="249" t="s">
        <v>7</v>
      </c>
      <c r="C8" s="250"/>
      <c r="D8" s="250"/>
      <c r="E8" s="250"/>
      <c r="F8" s="250"/>
    </row>
    <row r="9" ht="22.5" customHeight="1" spans="2:7">
      <c r="B9" s="251" t="s">
        <v>8</v>
      </c>
      <c r="C9" s="252"/>
      <c r="D9" s="253"/>
      <c r="E9" s="254"/>
      <c r="F9" s="235" t="s">
        <v>1</v>
      </c>
    </row>
    <row r="10" ht="22.5" customHeight="1" spans="2:7">
      <c r="B10" s="255" t="s">
        <v>9</v>
      </c>
      <c r="C10" s="256" t="s">
        <v>10</v>
      </c>
      <c r="D10" s="257"/>
      <c r="E10" s="258"/>
      <c r="F10" s="259"/>
    </row>
    <row r="11" ht="22.5" customHeight="1" spans="2:7">
      <c r="B11" s="255"/>
      <c r="C11" s="260" t="s">
        <v>11</v>
      </c>
      <c r="D11" s="261">
        <f>SUM('1.工资福利'!I15)</f>
        <v>1060103.33333333</v>
      </c>
      <c r="E11" s="262"/>
      <c r="F11" s="263"/>
      <c r="G11" s="22"/>
    </row>
    <row r="12" ht="22.5" customHeight="1" spans="2:7">
      <c r="B12" s="255"/>
      <c r="C12" s="260" t="s">
        <v>12</v>
      </c>
      <c r="D12" s="261">
        <f>'1.工资福利'!T15</f>
        <v>344757.916666667</v>
      </c>
      <c r="E12" s="262"/>
      <c r="F12" s="263"/>
      <c r="G12" s="22"/>
    </row>
    <row r="13" s="229" customFormat="1" ht="22.5" customHeight="1" spans="2:7">
      <c r="B13" s="264"/>
      <c r="C13" s="265" t="s">
        <v>13</v>
      </c>
      <c r="D13" s="266"/>
      <c r="E13" s="267">
        <f>SUM(D11:D12)</f>
        <v>1404861.25</v>
      </c>
      <c r="F13" s="268">
        <f>E13/$E$57</f>
        <v>0.303436397344839</v>
      </c>
      <c r="G13" s="269"/>
    </row>
    <row r="14" ht="22.5" customHeight="1" spans="2:7">
      <c r="B14" s="270" t="s">
        <v>14</v>
      </c>
      <c r="C14" s="271" t="s">
        <v>15</v>
      </c>
      <c r="D14" s="193"/>
      <c r="E14" s="272"/>
      <c r="F14" s="268"/>
      <c r="G14" s="273"/>
    </row>
    <row r="15" ht="22.5" customHeight="1" spans="2:7">
      <c r="B15" s="274"/>
      <c r="C15" s="242" t="str">
        <f>'2.设施设备运行维护'!A3</f>
        <v>1.公共电费</v>
      </c>
      <c r="D15" s="275">
        <f>'2.设施设备运行维护'!O9</f>
        <v>541200</v>
      </c>
      <c r="E15" s="276"/>
      <c r="F15" s="268"/>
      <c r="G15" s="277"/>
    </row>
    <row r="16" ht="22.5" customHeight="1" spans="2:7">
      <c r="B16" s="274"/>
      <c r="C16" s="242" t="str">
        <f>'2.设施设备运行维护'!A10</f>
        <v>2.公共水费</v>
      </c>
      <c r="D16" s="275">
        <f>'2.设施设备运行维护'!O14</f>
        <v>103700</v>
      </c>
      <c r="E16" s="276"/>
      <c r="F16" s="268"/>
      <c r="G16" s="277"/>
    </row>
    <row r="17" ht="22.5" customHeight="1" spans="2:7">
      <c r="B17" s="274"/>
      <c r="C17" s="242" t="str">
        <f>'2.设施设备运行维护'!A15</f>
        <v>3.电梯运行费（合同）</v>
      </c>
      <c r="D17" s="278">
        <f>'2.设施设备运行维护'!O18</f>
        <v>144000</v>
      </c>
      <c r="E17" s="138"/>
      <c r="F17" s="268"/>
      <c r="G17" s="277"/>
    </row>
    <row r="18" ht="22.5" customHeight="1" spans="2:7">
      <c r="B18" s="274"/>
      <c r="C18" s="242" t="str">
        <f>'2.设施设备运行维护'!A19</f>
        <v>4.消防系统维护费</v>
      </c>
      <c r="D18" s="275">
        <f>'2.设施设备运行维护'!O25</f>
        <v>48240</v>
      </c>
      <c r="E18" s="279"/>
      <c r="F18" s="268"/>
      <c r="G18" s="273"/>
    </row>
    <row r="19" ht="22.5" customHeight="1" spans="2:7">
      <c r="B19" s="274"/>
      <c r="C19" s="242" t="str">
        <f>'2.设施设备运行维护'!A26</f>
        <v>5.设施设备日常维护材料费</v>
      </c>
      <c r="D19" s="275">
        <f>SUM('2.设施设备运行维护'!O34)</f>
        <v>36000</v>
      </c>
      <c r="E19" s="272"/>
      <c r="F19" s="268"/>
      <c r="G19" s="273"/>
    </row>
    <row r="20" ht="22.5" customHeight="1" spans="2:7">
      <c r="B20" s="274"/>
      <c r="C20" s="242" t="str">
        <f>'2.设施设备运行维护'!A36</f>
        <v>6.给、排水系统维护</v>
      </c>
      <c r="D20" s="193">
        <f>'2.设施设备运行维护'!O39</f>
        <v>48000</v>
      </c>
      <c r="E20" s="272"/>
      <c r="F20" s="268"/>
      <c r="G20" s="273"/>
    </row>
    <row r="21" ht="22.5" customHeight="1" spans="2:7">
      <c r="B21" s="274"/>
      <c r="C21" s="242" t="str">
        <f>'2.设施设备运行维护'!A40</f>
        <v>7.强弱电、中控系统维保费</v>
      </c>
      <c r="D21" s="193">
        <f>'2.设施设备运行维护'!O42</f>
        <v>18000</v>
      </c>
      <c r="E21" s="272"/>
      <c r="F21" s="268"/>
      <c r="G21" s="273"/>
    </row>
    <row r="22" ht="22.5" customHeight="1" spans="2:7">
      <c r="B22" s="280"/>
      <c r="C22" s="281" t="s">
        <v>13</v>
      </c>
      <c r="D22" s="193"/>
      <c r="E22" s="272">
        <f>SUM(D15:D21)</f>
        <v>939140</v>
      </c>
      <c r="F22" s="268">
        <f>E22/$E$57</f>
        <v>0.202845126664595</v>
      </c>
      <c r="G22" s="273"/>
    </row>
    <row r="23" ht="22.5" customHeight="1" spans="2:7">
      <c r="B23" s="282" t="s">
        <v>16</v>
      </c>
      <c r="C23" s="237" t="s">
        <v>17</v>
      </c>
      <c r="D23" s="193"/>
      <c r="E23" s="272"/>
      <c r="F23" s="268"/>
      <c r="G23" s="273"/>
    </row>
    <row r="24" ht="22.5" customHeight="1" spans="2:7">
      <c r="B24" s="283"/>
      <c r="C24" s="242" t="str">
        <f>'3.清洁卫生'!A3</f>
        <v>1.保洁服务费</v>
      </c>
      <c r="D24" s="193">
        <f>SUM('3.清洁卫生'!O5)</f>
        <v>504000</v>
      </c>
      <c r="E24" s="272"/>
      <c r="F24" s="268"/>
      <c r="G24" s="273"/>
    </row>
    <row r="25" ht="22.5" customHeight="1" spans="2:7">
      <c r="B25" s="283"/>
      <c r="C25" s="242" t="str">
        <f>'3.清洁卫生'!A6</f>
        <v>2.化粪池清掏费</v>
      </c>
      <c r="D25" s="193">
        <f>SUM('3.清洁卫生'!O8)</f>
        <v>12000</v>
      </c>
      <c r="E25" s="272"/>
      <c r="F25" s="268"/>
      <c r="G25" s="273"/>
    </row>
    <row r="26" ht="22.5" customHeight="1" spans="2:7">
      <c r="B26" s="283"/>
      <c r="C26" s="242" t="str">
        <f>'3.清洁卫生'!A9</f>
        <v>3.垃圾清运费</v>
      </c>
      <c r="D26" s="193">
        <f>SUM('3.清洁卫生'!O11)</f>
        <v>30000</v>
      </c>
      <c r="E26" s="272"/>
      <c r="F26" s="268"/>
      <c r="G26" s="273"/>
    </row>
    <row r="27" ht="22.5" customHeight="1" spans="2:7">
      <c r="B27" s="284"/>
      <c r="C27" s="281" t="s">
        <v>13</v>
      </c>
      <c r="D27" s="193"/>
      <c r="E27" s="272">
        <f>SUM(D24+D25+D26)</f>
        <v>546000</v>
      </c>
      <c r="F27" s="268">
        <f>E27/$E$57</f>
        <v>0.11793070166202</v>
      </c>
      <c r="G27" s="273"/>
    </row>
    <row r="28" ht="22.5" customHeight="1" spans="2:7">
      <c r="B28" s="270" t="s">
        <v>18</v>
      </c>
      <c r="C28" s="237" t="s">
        <v>19</v>
      </c>
      <c r="D28" s="193"/>
      <c r="E28" s="272"/>
      <c r="F28" s="268"/>
      <c r="G28" s="273"/>
    </row>
    <row r="29" ht="22.5" customHeight="1" spans="2:7">
      <c r="B29" s="274"/>
      <c r="C29" s="242" t="str">
        <f>'4.绿化养护'!A3</f>
        <v>1.绿地绿化费</v>
      </c>
      <c r="D29" s="193">
        <f>SUM('4.绿化养护'!O7)</f>
        <v>124100</v>
      </c>
      <c r="E29" s="138"/>
      <c r="F29" s="268"/>
      <c r="G29" s="273"/>
    </row>
    <row r="30" ht="22.5" customHeight="1" spans="2:7">
      <c r="B30" s="274"/>
      <c r="C30" s="242" t="str">
        <f>'4.绿化养护'!A8</f>
        <v>2.日常、节日花卉及其他</v>
      </c>
      <c r="D30" s="193">
        <f>SUM('4.绿化养护'!O11)</f>
        <v>10000</v>
      </c>
      <c r="E30" s="272"/>
      <c r="F30" s="268"/>
      <c r="G30" s="273"/>
    </row>
    <row r="31" ht="22.5" customHeight="1" spans="2:7">
      <c r="B31" s="280"/>
      <c r="C31" s="281" t="s">
        <v>13</v>
      </c>
      <c r="D31" s="193"/>
      <c r="E31" s="272">
        <f>SUM(D29:D30)</f>
        <v>134100</v>
      </c>
      <c r="F31" s="268">
        <f>E31/$E$57</f>
        <v>0.0289642987049026</v>
      </c>
      <c r="G31" s="273"/>
    </row>
    <row r="32" ht="22.5" customHeight="1" spans="2:7">
      <c r="B32" s="270" t="s">
        <v>20</v>
      </c>
      <c r="C32" s="237" t="s">
        <v>21</v>
      </c>
      <c r="D32" s="193"/>
      <c r="E32" s="272"/>
      <c r="F32" s="268"/>
      <c r="G32" s="273"/>
    </row>
    <row r="33" ht="22.5" customHeight="1" spans="2:7">
      <c r="B33" s="274"/>
      <c r="C33" s="242" t="str">
        <f>'5.秩序维护'!A3</f>
        <v>1.保安合同</v>
      </c>
      <c r="D33" s="193">
        <f>'5.秩序维护'!O6</f>
        <v>672000</v>
      </c>
      <c r="E33" s="272"/>
      <c r="F33" s="268"/>
      <c r="G33" s="273"/>
    </row>
    <row r="34" ht="22.5" customHeight="1" spans="2:7">
      <c r="B34" s="274"/>
      <c r="C34" s="242" t="str">
        <f>'5.秩序维护'!A7</f>
        <v>2.车场管理费</v>
      </c>
      <c r="D34" s="193">
        <f>SUM('5.秩序维护'!O12)</f>
        <v>16000</v>
      </c>
      <c r="E34" s="272"/>
      <c r="F34" s="268"/>
      <c r="G34" s="273"/>
    </row>
    <row r="35" ht="22.5" customHeight="1" spans="2:7">
      <c r="B35" s="280"/>
      <c r="C35" s="281" t="s">
        <v>13</v>
      </c>
      <c r="D35" s="193"/>
      <c r="E35" s="272">
        <f>SUM(D33:D34)</f>
        <v>688000</v>
      </c>
      <c r="F35" s="268">
        <f>E35/$E$57</f>
        <v>0.148601323705988</v>
      </c>
      <c r="G35" s="273"/>
    </row>
    <row r="36" ht="22.5" customHeight="1" spans="2:7">
      <c r="B36" s="270" t="s">
        <v>22</v>
      </c>
      <c r="C36" s="237" t="s">
        <v>23</v>
      </c>
      <c r="D36" s="193"/>
      <c r="E36" s="272"/>
      <c r="F36" s="268"/>
      <c r="G36" s="273"/>
    </row>
    <row r="37" ht="22.5" customHeight="1" spans="2:7">
      <c r="B37" s="274"/>
      <c r="C37" s="242" t="str">
        <f>'6.办公费用'!A3</f>
        <v>1.办公用品</v>
      </c>
      <c r="D37" s="193">
        <f>SUM('6.办公费用'!O9)</f>
        <v>2952</v>
      </c>
      <c r="E37" s="272"/>
      <c r="F37" s="268"/>
      <c r="G37" s="273"/>
    </row>
    <row r="38" ht="22.5" customHeight="1" spans="2:7">
      <c r="B38" s="274"/>
      <c r="C38" s="242" t="str">
        <f>'6.办公费用'!A10</f>
        <v>2.办公耗材</v>
      </c>
      <c r="D38" s="193">
        <f>SUM('6.办公费用'!O18)</f>
        <v>9630</v>
      </c>
      <c r="E38" s="272"/>
      <c r="F38" s="268"/>
      <c r="G38" s="273"/>
    </row>
    <row r="39" ht="22.5" customHeight="1" spans="2:7">
      <c r="B39" s="274"/>
      <c r="C39" s="242" t="str">
        <f>'6.办公费用'!A19</f>
        <v>3.办公水、电费、物业管理软件</v>
      </c>
      <c r="D39" s="193">
        <f>SUM('6.办公费用'!O24)</f>
        <v>17200</v>
      </c>
      <c r="E39" s="272"/>
      <c r="F39" s="268"/>
      <c r="G39" s="273"/>
    </row>
    <row r="40" ht="22.5" customHeight="1" spans="2:7">
      <c r="B40" s="274"/>
      <c r="C40" s="242" t="str">
        <f>'6.办公费用'!A25</f>
        <v>4.报刊杂志费</v>
      </c>
      <c r="D40" s="193">
        <f>SUM('6.办公费用'!O28)</f>
        <v>10800</v>
      </c>
      <c r="E40" s="272"/>
      <c r="F40" s="268"/>
      <c r="G40" s="273"/>
    </row>
    <row r="41" ht="22.5" customHeight="1" spans="2:7">
      <c r="B41" s="274"/>
      <c r="C41" s="242" t="str">
        <f>'6.办公费用'!A29</f>
        <v>5.交通费</v>
      </c>
      <c r="D41" s="193">
        <f>SUM('6.办公费用'!O34)</f>
        <v>0</v>
      </c>
      <c r="E41" s="272"/>
      <c r="F41" s="268"/>
      <c r="G41" s="273"/>
    </row>
    <row r="42" ht="22.5" customHeight="1" spans="2:7">
      <c r="B42" s="274"/>
      <c r="C42" s="242" t="str">
        <f>'6.办公费用'!A35</f>
        <v>6.固话通讯费</v>
      </c>
      <c r="D42" s="193">
        <f>SUM('6.办公费用'!O43)</f>
        <v>10200</v>
      </c>
      <c r="E42" s="272"/>
      <c r="F42" s="268"/>
      <c r="G42" s="273"/>
    </row>
    <row r="43" ht="22.5" customHeight="1" spans="2:7">
      <c r="B43" s="274"/>
      <c r="C43" s="242" t="str">
        <f>'6.办公费用'!A44</f>
        <v>7.移动通讯费用</v>
      </c>
      <c r="D43" s="193">
        <f>SUM('6.办公费用'!O52)</f>
        <v>16200</v>
      </c>
      <c r="E43" s="272"/>
      <c r="F43" s="268"/>
      <c r="G43" s="273"/>
    </row>
    <row r="44" ht="22.5" customHeight="1" spans="2:7">
      <c r="B44" s="274"/>
      <c r="C44" s="285" t="s">
        <v>24</v>
      </c>
      <c r="D44" s="193">
        <f>SUM('6.办公费用'!O57)</f>
        <v>17617</v>
      </c>
      <c r="E44" s="272"/>
      <c r="F44" s="268"/>
      <c r="G44" s="273"/>
    </row>
    <row r="45" ht="22.5" customHeight="1" spans="2:7">
      <c r="B45" s="280"/>
      <c r="C45" s="281" t="s">
        <v>13</v>
      </c>
      <c r="D45" s="193"/>
      <c r="E45" s="272">
        <f>SUM(D37:D44)</f>
        <v>84599</v>
      </c>
      <c r="F45" s="268">
        <f>E45/$E$57</f>
        <v>0.0182725630584344</v>
      </c>
      <c r="G45" s="273"/>
    </row>
    <row r="46" ht="22.5" customHeight="1" spans="2:7">
      <c r="B46" s="270" t="s">
        <v>25</v>
      </c>
      <c r="C46" s="237" t="s">
        <v>26</v>
      </c>
      <c r="D46" s="193"/>
      <c r="E46" s="272"/>
      <c r="F46" s="268"/>
      <c r="G46" s="273"/>
    </row>
    <row r="47" ht="22.5" customHeight="1" spans="2:7">
      <c r="B47" s="274"/>
      <c r="C47" s="242" t="str">
        <f>'7.开办费摊销'!A3</f>
        <v>1.开办费摊销</v>
      </c>
      <c r="D47" s="193">
        <f>'7.开办费摊销'!P7</f>
        <v>66666.6666666667</v>
      </c>
      <c r="E47" s="272"/>
      <c r="F47" s="268"/>
      <c r="G47" s="273"/>
    </row>
    <row r="48" ht="22.5" customHeight="1" spans="2:7">
      <c r="B48" s="280"/>
      <c r="C48" s="281" t="s">
        <v>13</v>
      </c>
      <c r="D48" s="193"/>
      <c r="E48" s="272">
        <f>SUM(D47)</f>
        <v>66666.6666666667</v>
      </c>
      <c r="F48" s="268">
        <f>E48/$E$57</f>
        <v>0.0143993530722857</v>
      </c>
      <c r="G48" s="273"/>
    </row>
    <row r="49" ht="22.5" customHeight="1" spans="2:7">
      <c r="B49" s="270" t="s">
        <v>27</v>
      </c>
      <c r="C49" s="237" t="s">
        <v>28</v>
      </c>
      <c r="D49" s="193"/>
      <c r="E49" s="272"/>
      <c r="F49" s="268"/>
      <c r="G49" s="273"/>
    </row>
    <row r="50" ht="22.5" customHeight="1" spans="2:7">
      <c r="B50" s="274"/>
      <c r="C50" s="242" t="str">
        <f>'8.保险'!A3</f>
        <v>1.公众责任、财产、机器、车辆保险</v>
      </c>
      <c r="D50" s="193">
        <f>SUM('8.保险'!O10)</f>
        <v>60000</v>
      </c>
      <c r="E50" s="272"/>
      <c r="F50" s="268"/>
      <c r="G50" s="273"/>
    </row>
    <row r="51" ht="22.5" customHeight="1" spans="2:7">
      <c r="B51" s="280"/>
      <c r="C51" s="281" t="s">
        <v>13</v>
      </c>
      <c r="D51" s="193"/>
      <c r="E51" s="272">
        <f>SUM(D50)</f>
        <v>60000</v>
      </c>
      <c r="F51" s="268">
        <f>E51/$E$57</f>
        <v>0.0129594177650571</v>
      </c>
      <c r="G51" s="273"/>
    </row>
    <row r="52" ht="22.5" customHeight="1" spans="2:7">
      <c r="B52" s="270" t="s">
        <v>29</v>
      </c>
      <c r="C52" s="237" t="s">
        <v>30</v>
      </c>
      <c r="D52" s="193"/>
      <c r="E52" s="272"/>
      <c r="F52" s="268"/>
      <c r="G52" s="273"/>
    </row>
    <row r="53" ht="22.5" customHeight="1" spans="2:7">
      <c r="B53" s="274"/>
      <c r="C53" s="242" t="str">
        <f>'9.其他费用'!A3</f>
        <v>1.节日园区布置费</v>
      </c>
      <c r="D53" s="193">
        <f>SUM('9.其他费用'!O5)</f>
        <v>4500</v>
      </c>
      <c r="E53" s="272"/>
      <c r="F53" s="268"/>
      <c r="G53" s="273"/>
    </row>
    <row r="54" ht="22.5" customHeight="1" spans="2:7">
      <c r="B54" s="274"/>
      <c r="C54" s="242" t="str">
        <f>'9.其他费用'!A6</f>
        <v>2.税金</v>
      </c>
      <c r="D54" s="193">
        <f>SUM('9.其他费用'!O7)</f>
        <v>281076.38112</v>
      </c>
      <c r="E54" s="272"/>
      <c r="F54" s="268"/>
      <c r="G54" s="273"/>
    </row>
    <row r="55" ht="22.5" customHeight="1" spans="2:7">
      <c r="B55" s="280"/>
      <c r="C55" s="281" t="s">
        <v>13</v>
      </c>
      <c r="D55" s="193"/>
      <c r="E55" s="272">
        <f>SUM(D54+D53)</f>
        <v>285576.38112</v>
      </c>
      <c r="F55" s="268">
        <f>E55/$E$57</f>
        <v>0.0616817271127874</v>
      </c>
      <c r="G55" s="273"/>
    </row>
    <row r="56" ht="22.5" customHeight="1" spans="2:7">
      <c r="B56" s="286" t="s">
        <v>31</v>
      </c>
      <c r="C56" s="287" t="s">
        <v>32</v>
      </c>
      <c r="D56" s="275"/>
      <c r="E56" s="272">
        <f>SUM(E9:E55)*10%</f>
        <v>420894.329778667</v>
      </c>
      <c r="F56" s="268">
        <f>E56/$E$57</f>
        <v>0.0909090909090909</v>
      </c>
      <c r="G56" s="273"/>
    </row>
    <row r="57" s="57" customFormat="1" ht="22.5" customHeight="1" spans="2:7">
      <c r="B57" s="288" t="s">
        <v>33</v>
      </c>
      <c r="C57" s="237"/>
      <c r="D57" s="193"/>
      <c r="E57" s="289">
        <f>SUM(E11:E56)</f>
        <v>4629837.62756533</v>
      </c>
      <c r="F57" s="268">
        <f>SUM(F10:F56)</f>
        <v>1</v>
      </c>
      <c r="G57" s="290"/>
    </row>
    <row r="58" s="57" customFormat="1" ht="36.95" customHeight="1" spans="2:7">
      <c r="B58" s="244" t="s">
        <v>34</v>
      </c>
      <c r="C58" s="245"/>
      <c r="D58" s="246"/>
      <c r="E58" s="291">
        <f>SUM(E7-E57)</f>
        <v>54768.7244346673</v>
      </c>
      <c r="F58" s="292">
        <f>SUM(E58/E7*100%)</f>
        <v>0.0116912116663303</v>
      </c>
      <c r="G58" s="290"/>
    </row>
    <row r="59" ht="62.25" customHeight="1"/>
    <row r="67" spans="3:4">
      <c r="C67" s="271" t="str">
        <f>C10</f>
        <v>（一）管理服务人员的工资、社会保险和按规定提取的福利费等</v>
      </c>
      <c r="D67" s="293">
        <f>SUM(E13)</f>
        <v>1404861.25</v>
      </c>
    </row>
    <row r="68" spans="3:4">
      <c r="C68" s="271" t="str">
        <f>C14</f>
        <v>（二）物业共用部位、共用设施设备的日常运行、维护费用</v>
      </c>
      <c r="D68" s="293">
        <f>SUM(E22)</f>
        <v>939140</v>
      </c>
    </row>
    <row r="69" spans="3:4">
      <c r="C69" s="237" t="str">
        <f>C23</f>
        <v>（三）物业管理区域清洁卫生费用</v>
      </c>
      <c r="D69" s="293">
        <f>SUM(E27)</f>
        <v>546000</v>
      </c>
    </row>
    <row r="70" spans="3:4">
      <c r="C70" s="237" t="str">
        <f>C28</f>
        <v>（四）物业管理区域绿化养护费用</v>
      </c>
      <c r="D70" s="293">
        <f>SUM(E31)</f>
        <v>134100</v>
      </c>
    </row>
    <row r="71" spans="3:4">
      <c r="C71" s="237" t="str">
        <f>C32</f>
        <v>（五）物业管理区域秩序维护费用</v>
      </c>
      <c r="D71" s="293">
        <f>SUM(E35)</f>
        <v>688000</v>
      </c>
    </row>
    <row r="72" spans="3:4">
      <c r="C72" s="237" t="str">
        <f>C36</f>
        <v>（六）行政办公费用</v>
      </c>
      <c r="D72" s="293">
        <f>SUM(E45)</f>
        <v>84599</v>
      </c>
    </row>
    <row r="73" spans="3:4">
      <c r="C73" s="237" t="str">
        <f>C46</f>
        <v>（七）前期开办费用摊销</v>
      </c>
      <c r="D73" s="293">
        <f>SUM(E48)</f>
        <v>66666.6666666667</v>
      </c>
    </row>
    <row r="74" spans="3:4">
      <c r="C74" s="237" t="str">
        <f>C49</f>
        <v>（八）物业共用部位、共用设施设备及公众责任保险费用</v>
      </c>
      <c r="D74" s="293">
        <f>SUM(E51)</f>
        <v>60000</v>
      </c>
    </row>
    <row r="75" spans="3:4">
      <c r="C75" s="237" t="str">
        <f>C52</f>
        <v>（九）税费和其它费用</v>
      </c>
      <c r="D75" s="293">
        <f>SUM(E55)</f>
        <v>285576.38112</v>
      </c>
    </row>
    <row r="76" spans="3:4">
      <c r="C76" s="237" t="str">
        <f>C56</f>
        <v>（十）管理者酬金(10%）</v>
      </c>
      <c r="D76" s="293">
        <f>SUM(E56)</f>
        <v>420894.329778667</v>
      </c>
    </row>
  </sheetData>
  <mergeCells count="11">
    <mergeCell ref="B1:F1"/>
    <mergeCell ref="B8:F8"/>
    <mergeCell ref="B10:B13"/>
    <mergeCell ref="B14:B22"/>
    <mergeCell ref="B23:B27"/>
    <mergeCell ref="B28:B31"/>
    <mergeCell ref="B32:B35"/>
    <mergeCell ref="B36:B45"/>
    <mergeCell ref="B46:B48"/>
    <mergeCell ref="B49:B51"/>
    <mergeCell ref="B52:B55"/>
  </mergeCells>
  <printOptions horizontalCentered="1"/>
  <pageMargins left="0.748031496062992" right="0.748031496062992" top="0.78740157480315" bottom="0.47" header="0.511811023622047" footer="0.511811023622047"/>
  <pageSetup paperSize="9" scale="45" orientation="portrait"/>
  <headerFooter alignWithMargins="0"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1"/>
  <sheetViews>
    <sheetView zoomScale="70" zoomScaleNormal="70" workbookViewId="0">
      <selection activeCell="A1" sqref="A1:N1"/>
    </sheetView>
  </sheetViews>
  <sheetFormatPr defaultColWidth="9" defaultRowHeight="14.25"/>
  <cols>
    <col min="1" max="1" width="5" customWidth="1"/>
    <col min="2" max="2" width="7.875" customWidth="1"/>
    <col min="3" max="3" width="31.625" customWidth="1"/>
    <col min="4" max="4" width="5" style="53" customWidth="1"/>
    <col min="5" max="5" width="12.625" customWidth="1"/>
    <col min="6" max="7" width="12.125" customWidth="1"/>
    <col min="8" max="8" width="10.375" customWidth="1"/>
    <col min="9" max="12" width="4" customWidth="1"/>
    <col min="13" max="13" width="20.875" customWidth="1"/>
    <col min="14" max="14" width="85.625" style="194" customWidth="1"/>
    <col min="16" max="16" width="14.125" customWidth="1"/>
    <col min="19" max="19" width="9.375" customWidth="1"/>
  </cols>
  <sheetData>
    <row r="1" ht="97.5" customHeight="1" spans="1:22">
      <c r="A1" s="195" t="s">
        <v>35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7"/>
      <c r="P1" s="197"/>
      <c r="Q1" s="197"/>
      <c r="R1" s="197"/>
      <c r="S1" s="197"/>
      <c r="T1" s="197"/>
      <c r="U1" s="197"/>
      <c r="V1" s="197"/>
    </row>
    <row r="2" ht="27.6" customHeight="1" spans="1:22">
      <c r="A2" s="198" t="s">
        <v>36</v>
      </c>
      <c r="B2" s="198"/>
      <c r="C2" s="198"/>
      <c r="D2" s="199"/>
      <c r="E2" s="200"/>
      <c r="F2" s="201"/>
      <c r="G2" s="201"/>
      <c r="H2" s="201"/>
      <c r="I2" s="201"/>
      <c r="J2" s="201"/>
      <c r="K2" s="201"/>
      <c r="L2" s="201"/>
      <c r="M2" s="202" t="s">
        <v>37</v>
      </c>
      <c r="N2" s="203"/>
    </row>
    <row r="3" ht="27" customHeight="1" spans="1:22">
      <c r="A3" s="204" t="s">
        <v>38</v>
      </c>
      <c r="B3" s="204"/>
      <c r="C3" s="204"/>
      <c r="D3" s="89"/>
      <c r="E3" s="29" t="s">
        <v>39</v>
      </c>
      <c r="F3" s="29" t="s">
        <v>40</v>
      </c>
      <c r="G3" s="205" t="s">
        <v>41</v>
      </c>
      <c r="H3" s="205" t="s">
        <v>42</v>
      </c>
      <c r="I3" s="27"/>
      <c r="J3" s="27"/>
      <c r="K3" s="27"/>
      <c r="L3" s="27"/>
      <c r="M3" s="27"/>
      <c r="N3" s="206"/>
    </row>
    <row r="4" ht="27" customHeight="1" spans="1:22">
      <c r="A4" s="201"/>
      <c r="B4" s="207" t="s">
        <v>43</v>
      </c>
      <c r="C4" s="207"/>
      <c r="D4" s="208"/>
      <c r="E4" s="209">
        <f>'10.规划各类建筑物面积'!C24</f>
        <v>187237.37</v>
      </c>
      <c r="F4" s="210">
        <v>1.35</v>
      </c>
      <c r="G4" s="201">
        <v>12</v>
      </c>
      <c r="H4" s="201">
        <v>1</v>
      </c>
      <c r="I4" s="201"/>
      <c r="J4" s="201"/>
      <c r="K4" s="201"/>
      <c r="L4" s="201"/>
      <c r="M4" s="208">
        <f>E4*F4*G4*H4</f>
        <v>3033245.394</v>
      </c>
      <c r="N4" s="203"/>
    </row>
    <row r="5" ht="27" customHeight="1" spans="1:22">
      <c r="A5" s="201"/>
      <c r="B5" s="207" t="s">
        <v>44</v>
      </c>
      <c r="C5" s="207"/>
      <c r="D5" s="208"/>
      <c r="E5" s="209">
        <f>'10.规划各类建筑物面积'!C34</f>
        <v>11454.26</v>
      </c>
      <c r="F5" s="210">
        <v>0.6</v>
      </c>
      <c r="G5" s="201">
        <v>12</v>
      </c>
      <c r="H5" s="201">
        <v>1</v>
      </c>
      <c r="I5" s="201"/>
      <c r="J5" s="201"/>
      <c r="K5" s="201"/>
      <c r="L5" s="201"/>
      <c r="M5" s="208">
        <f>E5*F5*G5*H5</f>
        <v>82470.672</v>
      </c>
      <c r="N5" s="203"/>
      <c r="Q5" s="3"/>
    </row>
    <row r="6" ht="27" customHeight="1" spans="1:22">
      <c r="A6" s="201"/>
      <c r="B6" s="207" t="s">
        <v>45</v>
      </c>
      <c r="C6" s="207"/>
      <c r="D6" s="208"/>
      <c r="E6" s="209">
        <f>'10.规划各类建筑物面积'!C25</f>
        <v>17884.28</v>
      </c>
      <c r="F6" s="210">
        <v>1.35</v>
      </c>
      <c r="G6" s="201">
        <v>12</v>
      </c>
      <c r="H6" s="201">
        <v>1</v>
      </c>
      <c r="I6" s="201"/>
      <c r="J6" s="201"/>
      <c r="K6" s="201"/>
      <c r="L6" s="201"/>
      <c r="M6" s="208">
        <f>E6*F6*G6*H6</f>
        <v>289725.336</v>
      </c>
      <c r="N6" s="203"/>
    </row>
    <row r="7" ht="27" customHeight="1" spans="1:22">
      <c r="A7" s="201"/>
      <c r="B7" s="207" t="s">
        <v>46</v>
      </c>
      <c r="C7" s="207"/>
      <c r="D7" s="208"/>
      <c r="E7" s="209">
        <v>2399.26</v>
      </c>
      <c r="F7" s="210">
        <v>0</v>
      </c>
      <c r="G7" s="201">
        <v>0</v>
      </c>
      <c r="H7" s="201">
        <v>0</v>
      </c>
      <c r="I7" s="201"/>
      <c r="J7" s="201"/>
      <c r="K7" s="201"/>
      <c r="L7" s="201"/>
      <c r="M7" s="208">
        <f>E7*F7*G7*H7</f>
        <v>0</v>
      </c>
      <c r="N7" s="203"/>
    </row>
    <row r="8" ht="27" customHeight="1" spans="1:22">
      <c r="A8" s="211"/>
      <c r="B8" s="35" t="s">
        <v>13</v>
      </c>
      <c r="C8" s="211"/>
      <c r="D8" s="39"/>
      <c r="F8" s="211"/>
      <c r="G8" s="211"/>
      <c r="H8" s="211"/>
      <c r="I8" s="211"/>
      <c r="J8" s="211"/>
      <c r="K8" s="211"/>
      <c r="L8" s="211"/>
      <c r="M8" s="212">
        <f>SUM(M4:M7)</f>
        <v>3405441.402</v>
      </c>
      <c r="N8" s="213"/>
    </row>
    <row r="9" ht="27" customHeight="1" spans="1:22">
      <c r="A9" s="214" t="s">
        <v>47</v>
      </c>
      <c r="B9" s="214"/>
      <c r="C9" s="214"/>
      <c r="D9" s="215"/>
      <c r="E9" s="216"/>
      <c r="F9" s="216"/>
      <c r="G9" s="216"/>
      <c r="H9" s="216"/>
      <c r="I9" s="216"/>
      <c r="J9" s="216"/>
      <c r="K9" s="216"/>
      <c r="L9" s="216"/>
      <c r="M9" s="216"/>
      <c r="N9" s="217"/>
    </row>
    <row r="10" ht="27" customHeight="1" spans="1:22">
      <c r="A10" s="201"/>
      <c r="B10" s="201" t="s">
        <v>48</v>
      </c>
      <c r="C10" s="201"/>
      <c r="D10" s="208"/>
      <c r="E10" s="202" t="s">
        <v>49</v>
      </c>
      <c r="F10" s="202" t="s">
        <v>40</v>
      </c>
      <c r="G10" t="s">
        <v>41</v>
      </c>
      <c r="I10" s="202"/>
      <c r="J10" s="201"/>
      <c r="K10" s="201"/>
      <c r="L10" s="201"/>
      <c r="M10" s="218" t="s">
        <v>50</v>
      </c>
      <c r="N10" s="203"/>
    </row>
    <row r="11" ht="27" customHeight="1" spans="1:22">
      <c r="A11" s="201"/>
      <c r="B11" s="207"/>
      <c r="C11" s="207" t="s">
        <v>51</v>
      </c>
      <c r="D11" s="208"/>
      <c r="E11" s="209">
        <f>'10.规划各类建筑物面积'!C44</f>
        <v>1023</v>
      </c>
      <c r="F11" s="210">
        <v>50</v>
      </c>
      <c r="G11" s="201">
        <v>12</v>
      </c>
      <c r="H11" s="201">
        <v>1</v>
      </c>
      <c r="I11" s="201"/>
      <c r="J11" s="201"/>
      <c r="K11" s="201"/>
      <c r="L11" s="201"/>
      <c r="M11" s="208">
        <f>E11*F11*G11*H11</f>
        <v>613800</v>
      </c>
      <c r="N11" s="203"/>
    </row>
    <row r="12" ht="27" customHeight="1" spans="1:22">
      <c r="A12" s="211"/>
      <c r="B12" s="35" t="s">
        <v>13</v>
      </c>
      <c r="C12" s="211"/>
      <c r="D12" s="39"/>
      <c r="F12" s="211"/>
      <c r="G12" s="211"/>
      <c r="H12" s="211"/>
      <c r="I12" s="211"/>
      <c r="J12" s="211"/>
      <c r="K12" s="211"/>
      <c r="L12" s="211"/>
      <c r="M12" s="212">
        <f>SUM(M11:M11)</f>
        <v>613800</v>
      </c>
    </row>
    <row r="13" ht="27" customHeight="1" spans="1:22">
      <c r="A13" s="219" t="s">
        <v>52</v>
      </c>
      <c r="B13" s="219"/>
      <c r="C13" s="219"/>
      <c r="D13" s="220"/>
      <c r="E13" s="221"/>
      <c r="F13" s="221"/>
      <c r="G13" s="221"/>
      <c r="H13" s="221"/>
      <c r="I13" s="221"/>
      <c r="J13" s="221"/>
      <c r="K13" s="221"/>
      <c r="L13" s="221"/>
      <c r="M13" s="220"/>
      <c r="N13" s="222"/>
    </row>
    <row r="14" ht="39" customHeight="1" spans="1:22">
      <c r="A14" s="201"/>
      <c r="B14" s="207" t="s">
        <v>53</v>
      </c>
      <c r="C14" s="207"/>
      <c r="D14" s="208"/>
      <c r="E14" s="209">
        <f>E4+E6</f>
        <v>205121.65</v>
      </c>
      <c r="F14" s="210">
        <v>6</v>
      </c>
      <c r="G14" s="201">
        <v>1</v>
      </c>
      <c r="H14" s="201">
        <v>0.5</v>
      </c>
      <c r="I14" s="201"/>
      <c r="J14" s="201"/>
      <c r="K14" s="201"/>
      <c r="L14" s="201"/>
      <c r="M14" s="208">
        <f>E14*F14*G14*H14</f>
        <v>615364.95</v>
      </c>
      <c r="N14" s="203" t="s">
        <v>54</v>
      </c>
      <c r="Q14" s="3"/>
    </row>
    <row r="15" ht="27" customHeight="1" spans="1:22">
      <c r="A15" s="201"/>
      <c r="B15" s="207" t="s">
        <v>55</v>
      </c>
      <c r="C15" s="207"/>
      <c r="D15" s="208"/>
      <c r="E15" s="209"/>
      <c r="F15" s="210"/>
      <c r="G15" s="201"/>
      <c r="H15" s="201"/>
      <c r="I15" s="201"/>
      <c r="J15" s="201"/>
      <c r="K15" s="201"/>
      <c r="L15" s="201"/>
      <c r="M15" s="208">
        <v>50000</v>
      </c>
      <c r="N15" s="203"/>
      <c r="Q15" s="223"/>
    </row>
    <row r="16" s="57" customFormat="1" ht="27" customHeight="1" spans="1:22">
      <c r="A16" s="35"/>
      <c r="B16" s="35" t="s">
        <v>13</v>
      </c>
      <c r="C16" s="35"/>
      <c r="D16" s="212"/>
      <c r="E16" s="35"/>
      <c r="F16" s="35"/>
      <c r="G16" s="35"/>
      <c r="H16" s="35"/>
      <c r="I16" s="35"/>
      <c r="J16" s="35"/>
      <c r="K16" s="35"/>
      <c r="L16" s="35"/>
      <c r="M16" s="212">
        <f>SUM(M14:M15)</f>
        <v>665364.95</v>
      </c>
      <c r="N16" s="224"/>
    </row>
    <row r="17" ht="15" spans="1:14">
      <c r="A17" s="22"/>
      <c r="B17" s="22"/>
      <c r="C17" s="22"/>
      <c r="E17" s="22"/>
      <c r="F17" s="22"/>
      <c r="G17" s="22"/>
      <c r="H17" s="22"/>
      <c r="I17" s="22"/>
      <c r="J17" s="22"/>
      <c r="K17" s="22"/>
      <c r="L17" s="22"/>
      <c r="M17" s="225"/>
      <c r="N17" s="217"/>
    </row>
    <row r="18" s="57" customFormat="1" ht="27" customHeight="1" spans="1:14">
      <c r="A18" s="35" t="s">
        <v>56</v>
      </c>
      <c r="B18" s="35"/>
      <c r="C18" s="35"/>
      <c r="D18" s="212"/>
      <c r="E18" s="35"/>
      <c r="F18" s="35"/>
      <c r="G18" s="35"/>
      <c r="H18" s="35"/>
      <c r="I18" s="35"/>
      <c r="J18" s="35"/>
      <c r="K18" s="35"/>
      <c r="L18" s="35"/>
      <c r="M18" s="226">
        <f>(M8+M12+M16)</f>
        <v>4684606.352</v>
      </c>
      <c r="N18" s="224"/>
    </row>
    <row r="19" ht="15" spans="1:14">
      <c r="A19" s="22"/>
      <c r="B19" s="22"/>
      <c r="C19" s="22"/>
      <c r="E19" s="22"/>
      <c r="F19" s="22"/>
      <c r="G19" s="22"/>
      <c r="H19" s="22"/>
      <c r="I19" s="22"/>
      <c r="J19" s="22"/>
      <c r="K19" s="22"/>
      <c r="L19" s="22"/>
      <c r="M19" s="22"/>
      <c r="N19" s="227"/>
    </row>
    <row r="21" spans="1:14">
      <c r="C21" t="s">
        <v>43</v>
      </c>
      <c r="M21" s="53">
        <f>SUM(M4)</f>
        <v>3033245.394</v>
      </c>
    </row>
    <row r="22" spans="1:14">
      <c r="C22" s="24" t="s">
        <v>44</v>
      </c>
      <c r="M22" s="228">
        <f>SUM(M5)</f>
        <v>82470.672</v>
      </c>
    </row>
    <row r="23" spans="1:14">
      <c r="C23" s="24" t="s">
        <v>45</v>
      </c>
      <c r="M23" s="228">
        <f>SUM(M6)</f>
        <v>289725.336</v>
      </c>
    </row>
    <row r="24" spans="1:14">
      <c r="C24" s="24" t="s">
        <v>46</v>
      </c>
      <c r="M24" s="228">
        <f>SUM(M7)</f>
        <v>0</v>
      </c>
    </row>
    <row r="25" spans="1:14">
      <c r="C25" s="201" t="s">
        <v>51</v>
      </c>
      <c r="M25" s="228">
        <f>SUM(M12)</f>
        <v>613800</v>
      </c>
    </row>
    <row r="26" spans="1:14">
      <c r="C26" s="24" t="s">
        <v>57</v>
      </c>
      <c r="M26" s="228">
        <f>SUM(M16)</f>
        <v>665364.95</v>
      </c>
    </row>
    <row r="27" spans="1:14">
      <c r="C27" s="24"/>
      <c r="D27" s="228"/>
    </row>
    <row r="28" spans="1:14">
      <c r="C28" s="24"/>
      <c r="D28" s="228"/>
    </row>
    <row r="29" spans="1:14">
      <c r="C29" s="24"/>
      <c r="D29" s="228"/>
    </row>
    <row r="30" spans="1:14">
      <c r="C30" s="24"/>
      <c r="D30" s="228"/>
    </row>
    <row r="31" spans="1:14">
      <c r="C31" s="24"/>
      <c r="D31" s="228"/>
    </row>
  </sheetData>
  <mergeCells count="12">
    <mergeCell ref="A1:N1"/>
    <mergeCell ref="A2:C2"/>
    <mergeCell ref="A3:C3"/>
    <mergeCell ref="B4:C4"/>
    <mergeCell ref="B5:C5"/>
    <mergeCell ref="B6:C6"/>
    <mergeCell ref="B7:C7"/>
    <mergeCell ref="A9:C9"/>
    <mergeCell ref="B11:C11"/>
    <mergeCell ref="A13:C13"/>
    <mergeCell ref="B14:C14"/>
    <mergeCell ref="B15:C15"/>
  </mergeCells>
  <pageMargins left="0.75" right="0.75" top="1" bottom="1" header="0.5" footer="0.5"/>
  <pageSetup paperSize="9" scale="48" fitToHeight="11" orientation="landscape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9"/>
  <sheetViews>
    <sheetView zoomScale="70" zoomScaleNormal="70" workbookViewId="0">
      <selection activeCell="A1" sqref="A1:U1"/>
    </sheetView>
  </sheetViews>
  <sheetFormatPr defaultColWidth="9" defaultRowHeight="36.75" customHeight="1"/>
  <cols>
    <col min="1" max="1" width="7.5" customWidth="1"/>
    <col min="2" max="2" width="25.375" customWidth="1"/>
    <col min="3" max="3" width="6.125" customWidth="1"/>
    <col min="4" max="4" width="16.625" style="53" customWidth="1"/>
    <col min="5" max="5" width="17.375" style="53" customWidth="1"/>
    <col min="6" max="6" width="14.375" style="53" customWidth="1"/>
    <col min="7" max="7" width="13.75" style="53" customWidth="1"/>
    <col min="8" max="8" width="15.375" style="53" customWidth="1"/>
    <col min="9" max="9" width="17.75" style="53" customWidth="1"/>
    <col min="10" max="10" width="15.625" customWidth="1"/>
    <col min="11" max="12" width="14.375" customWidth="1"/>
    <col min="13" max="13" width="15.625" customWidth="1"/>
    <col min="14" max="14" width="15" customWidth="1"/>
    <col min="15" max="15" width="12.5" customWidth="1"/>
    <col min="16" max="16" width="15.25" customWidth="1"/>
    <col min="17" max="17" width="15.5" customWidth="1"/>
    <col min="18" max="18" width="13.875" customWidth="1"/>
    <col min="19" max="19" width="21.875" customWidth="1"/>
    <col min="20" max="20" width="15.5" customWidth="1"/>
    <col min="21" max="21" width="20.875" customWidth="1"/>
  </cols>
  <sheetData>
    <row r="1" s="31" customFormat="1" customHeight="1" spans="1:21">
      <c r="A1" s="157" t="s">
        <v>58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</row>
    <row r="2" s="31" customFormat="1" customHeight="1" spans="1:21">
      <c r="A2" s="159"/>
      <c r="B2" s="160"/>
      <c r="C2" s="160"/>
      <c r="D2" s="161" t="s">
        <v>59</v>
      </c>
      <c r="E2" s="161"/>
      <c r="F2" s="161"/>
      <c r="G2" s="161"/>
      <c r="H2" s="161"/>
      <c r="I2" s="162"/>
      <c r="J2" s="163" t="s">
        <v>60</v>
      </c>
      <c r="K2" s="164"/>
      <c r="L2" s="164"/>
      <c r="M2" s="164"/>
      <c r="N2" s="164"/>
      <c r="O2" s="164"/>
      <c r="P2" s="164"/>
      <c r="Q2" s="164"/>
      <c r="R2" s="164"/>
      <c r="S2" s="164"/>
      <c r="T2" s="165"/>
      <c r="U2" s="166" t="s">
        <v>56</v>
      </c>
    </row>
    <row r="3" s="156" customFormat="1" customHeight="1" spans="1:21">
      <c r="A3" s="167" t="s">
        <v>61</v>
      </c>
      <c r="B3" s="168"/>
      <c r="C3" s="168" t="s">
        <v>62</v>
      </c>
      <c r="D3" s="168" t="s">
        <v>63</v>
      </c>
      <c r="E3" s="168" t="s">
        <v>64</v>
      </c>
      <c r="F3" s="168" t="s">
        <v>65</v>
      </c>
      <c r="G3" s="168" t="s">
        <v>66</v>
      </c>
      <c r="H3" s="168" t="s">
        <v>67</v>
      </c>
      <c r="I3" s="169" t="s">
        <v>68</v>
      </c>
      <c r="J3" s="170" t="s">
        <v>69</v>
      </c>
      <c r="K3" s="171" t="s">
        <v>70</v>
      </c>
      <c r="L3" s="172" t="s">
        <v>71</v>
      </c>
      <c r="M3" s="173" t="s">
        <v>72</v>
      </c>
      <c r="N3" s="173" t="s">
        <v>73</v>
      </c>
      <c r="O3" s="173" t="s">
        <v>74</v>
      </c>
      <c r="P3" s="173" t="s">
        <v>75</v>
      </c>
      <c r="Q3" s="173" t="s">
        <v>76</v>
      </c>
      <c r="R3" s="173" t="s">
        <v>77</v>
      </c>
      <c r="S3" s="173" t="s">
        <v>78</v>
      </c>
      <c r="T3" s="174" t="s">
        <v>79</v>
      </c>
      <c r="U3" s="175"/>
    </row>
    <row r="4" customHeight="1" spans="1:21">
      <c r="A4" s="176" t="s">
        <v>80</v>
      </c>
      <c r="B4" s="137" t="s">
        <v>81</v>
      </c>
      <c r="C4" s="129">
        <v>1</v>
      </c>
      <c r="D4" s="117">
        <v>25000</v>
      </c>
      <c r="E4" s="117">
        <f>C4*D4*12</f>
        <v>300000</v>
      </c>
      <c r="F4" s="117"/>
      <c r="G4" s="117"/>
      <c r="H4" s="117"/>
      <c r="I4" s="143">
        <f>SUM(E4:H4)</f>
        <v>300000</v>
      </c>
      <c r="J4" s="177"/>
      <c r="K4" s="143"/>
      <c r="L4" s="178">
        <v>0</v>
      </c>
      <c r="M4" s="179">
        <v>0</v>
      </c>
      <c r="N4" s="179">
        <v>0</v>
      </c>
      <c r="O4" s="179">
        <v>0</v>
      </c>
      <c r="P4" s="179">
        <v>0</v>
      </c>
      <c r="Q4" s="179">
        <v>0</v>
      </c>
      <c r="R4" s="179">
        <v>0</v>
      </c>
      <c r="S4" s="179">
        <f>I4*10%</f>
        <v>30000</v>
      </c>
      <c r="T4" s="180">
        <f>SUM(L4:S4)</f>
        <v>30000</v>
      </c>
      <c r="U4" s="181">
        <f t="shared" ref="U4:U14" si="0">I4+T4</f>
        <v>330000</v>
      </c>
    </row>
    <row r="5" customHeight="1" spans="1:21">
      <c r="A5" s="176"/>
      <c r="B5" s="137" t="s">
        <v>82</v>
      </c>
      <c r="C5" s="129">
        <v>1</v>
      </c>
      <c r="D5" s="117">
        <v>7000</v>
      </c>
      <c r="E5" s="117">
        <f t="shared" ref="E5:E14" si="1">C5*D5*12</f>
        <v>84000</v>
      </c>
      <c r="F5" s="117">
        <f>D5*2*C5</f>
        <v>14000</v>
      </c>
      <c r="G5" s="117">
        <f>600*12</f>
        <v>7200</v>
      </c>
      <c r="H5" s="117">
        <f>11*D5/30*2*C5</f>
        <v>5133.33333333333</v>
      </c>
      <c r="I5" s="143">
        <f>SUM(E5:H5)</f>
        <v>110333.333333333</v>
      </c>
      <c r="J5" s="177">
        <f>I5/12/C5</f>
        <v>9194.44444444444</v>
      </c>
      <c r="K5" s="143">
        <f>$E$17</f>
        <v>2180</v>
      </c>
      <c r="L5" s="178">
        <f>IF(J5&gt;K5,ROUND(J5,0)*20%*12*C5,K5*20%*12*C5)</f>
        <v>22065.6</v>
      </c>
      <c r="M5" s="179">
        <f>IF(J5&gt;K5,ROUND(J5,0)*2%*12*C5,K5*2%*12*C5)</f>
        <v>2206.56</v>
      </c>
      <c r="N5" s="179">
        <f>IF(J5&gt;K5,ROUND(J5,0)*1%*12*C5,J5*1%*12*C5)</f>
        <v>1103.28</v>
      </c>
      <c r="O5" s="179">
        <f>IF(J5&gt;K5,ROUND(J5,0)*1%*12*C5,J5*1%*12*C5)</f>
        <v>1103.28</v>
      </c>
      <c r="P5" s="179">
        <f>IF(J5&gt;K5,ROUND(J5,0)*6%*12*C5,J5*6%*12*C5)</f>
        <v>6619.68</v>
      </c>
      <c r="Q5" s="179">
        <v>0</v>
      </c>
      <c r="R5" s="179">
        <f>I5*1%</f>
        <v>1103.33333333333</v>
      </c>
      <c r="S5" s="179">
        <f>I5*10%</f>
        <v>11033.3333333333</v>
      </c>
      <c r="T5" s="180">
        <f>SUM(L5:S5)</f>
        <v>45235.0666666667</v>
      </c>
      <c r="U5" s="181">
        <f t="shared" si="0"/>
        <v>155568.4</v>
      </c>
    </row>
    <row r="6" customHeight="1" spans="1:21">
      <c r="A6" s="176" t="s">
        <v>83</v>
      </c>
      <c r="B6" s="137" t="s">
        <v>84</v>
      </c>
      <c r="C6" s="129">
        <v>1</v>
      </c>
      <c r="D6" s="117">
        <v>4500</v>
      </c>
      <c r="E6" s="117">
        <f t="shared" si="1"/>
        <v>54000</v>
      </c>
      <c r="F6" s="117">
        <f>D6*2*C6</f>
        <v>9000</v>
      </c>
      <c r="G6" s="117">
        <v>0</v>
      </c>
      <c r="H6" s="117">
        <f>11*D6/30*2*C6</f>
        <v>3300</v>
      </c>
      <c r="I6" s="143">
        <f>SUM(E6:H6)</f>
        <v>66300</v>
      </c>
      <c r="J6" s="177">
        <f t="shared" ref="J6:J14" si="2">I6/12/C6</f>
        <v>5525</v>
      </c>
      <c r="K6" s="143">
        <f t="shared" ref="K6:K14" si="3">$E$17</f>
        <v>2180</v>
      </c>
      <c r="L6" s="178">
        <f t="shared" ref="L6:L14" si="4">IF(J6&gt;K6,ROUND(J6,0)*20%*12*C6,K6*20%*12*C6)</f>
        <v>13260</v>
      </c>
      <c r="M6" s="179">
        <f t="shared" ref="M6:M14" si="5">IF(J6&gt;K6,ROUND(J6,0)*2%*12*C6,K6*2%*12*C6)</f>
        <v>1326</v>
      </c>
      <c r="N6" s="179">
        <f t="shared" ref="N6:N14" si="6">IF(J6&gt;K6,ROUND(J6,0)*1%*12*C6,J6*1%*12*C6)</f>
        <v>663</v>
      </c>
      <c r="O6" s="179">
        <f t="shared" ref="O6:O14" si="7">IF(J6&gt;K6,ROUND(J6,0)*1%*12*C6,J6*1%*12*C6)</f>
        <v>663</v>
      </c>
      <c r="P6" s="179">
        <f t="shared" ref="P6:P14" si="8">IF(J6&gt;K6,ROUND(J6,0)*6%*12*C6,J6*6%*12*C6)</f>
        <v>3978</v>
      </c>
      <c r="Q6" s="179">
        <v>0</v>
      </c>
      <c r="R6" s="179">
        <f>I6*1%</f>
        <v>663</v>
      </c>
      <c r="S6" s="179">
        <f>I6*10%</f>
        <v>6630</v>
      </c>
      <c r="T6" s="180">
        <f>SUM(L6:S6)</f>
        <v>27183</v>
      </c>
      <c r="U6" s="181">
        <f t="shared" si="0"/>
        <v>93483</v>
      </c>
    </row>
    <row r="7" customHeight="1" spans="1:21">
      <c r="A7" s="176"/>
      <c r="B7" s="137" t="s">
        <v>85</v>
      </c>
      <c r="C7" s="129">
        <v>4</v>
      </c>
      <c r="D7" s="117">
        <v>2500</v>
      </c>
      <c r="E7" s="117">
        <f t="shared" si="1"/>
        <v>120000</v>
      </c>
      <c r="F7" s="117">
        <f>D7*2*C7</f>
        <v>20000</v>
      </c>
      <c r="G7" s="117">
        <v>0</v>
      </c>
      <c r="H7" s="117">
        <f>11*D7/30*2*C7</f>
        <v>7333.33333333333</v>
      </c>
      <c r="I7" s="143">
        <f>SUM(E7:H7)</f>
        <v>147333.333333333</v>
      </c>
      <c r="J7" s="177">
        <f t="shared" si="2"/>
        <v>3069.44444444444</v>
      </c>
      <c r="K7" s="143">
        <f t="shared" si="3"/>
        <v>2180</v>
      </c>
      <c r="L7" s="178">
        <f t="shared" si="4"/>
        <v>29462.4</v>
      </c>
      <c r="M7" s="179">
        <f t="shared" si="5"/>
        <v>2946.24</v>
      </c>
      <c r="N7" s="179">
        <f t="shared" si="6"/>
        <v>1473.12</v>
      </c>
      <c r="O7" s="179">
        <f t="shared" si="7"/>
        <v>1473.12</v>
      </c>
      <c r="P7" s="179">
        <f t="shared" si="8"/>
        <v>8838.72</v>
      </c>
      <c r="Q7" s="179">
        <v>0</v>
      </c>
      <c r="R7" s="179">
        <f>I7*1.5%</f>
        <v>2210</v>
      </c>
      <c r="S7" s="179">
        <f>I7*10%</f>
        <v>14733.3333333333</v>
      </c>
      <c r="T7" s="180">
        <f>SUM(L7:S7)</f>
        <v>61136.9333333333</v>
      </c>
      <c r="U7" s="181">
        <f t="shared" si="0"/>
        <v>208470.266666667</v>
      </c>
    </row>
    <row r="8" customHeight="1" spans="1:21">
      <c r="A8" s="176"/>
      <c r="B8" s="137" t="s">
        <v>86</v>
      </c>
      <c r="C8" s="129">
        <v>2</v>
      </c>
      <c r="D8" s="117">
        <v>2000</v>
      </c>
      <c r="E8" s="117">
        <f t="shared" si="1"/>
        <v>48000</v>
      </c>
      <c r="F8" s="117">
        <f>D8*1.5*C8</f>
        <v>6000</v>
      </c>
      <c r="G8" s="117">
        <v>0</v>
      </c>
      <c r="H8" s="117">
        <f>11*D8/30*2*C8</f>
        <v>2933.33333333333</v>
      </c>
      <c r="I8" s="143">
        <f>SUM(E8:H8)</f>
        <v>56933.3333333333</v>
      </c>
      <c r="J8" s="177">
        <f t="shared" si="2"/>
        <v>2372.22222222222</v>
      </c>
      <c r="K8" s="143">
        <f t="shared" si="3"/>
        <v>2180</v>
      </c>
      <c r="L8" s="178">
        <f t="shared" si="4"/>
        <v>11385.6</v>
      </c>
      <c r="M8" s="179">
        <f t="shared" si="5"/>
        <v>1138.56</v>
      </c>
      <c r="N8" s="179">
        <f t="shared" si="6"/>
        <v>569.28</v>
      </c>
      <c r="O8" s="179">
        <f t="shared" si="7"/>
        <v>569.28</v>
      </c>
      <c r="P8" s="179">
        <f t="shared" si="8"/>
        <v>3415.68</v>
      </c>
      <c r="Q8" s="179">
        <v>0</v>
      </c>
      <c r="R8" s="179">
        <f>I8*1.5%</f>
        <v>854</v>
      </c>
      <c r="S8" s="179">
        <f>I8*10%</f>
        <v>5693.33333333333</v>
      </c>
      <c r="T8" s="180">
        <f>SUM(L8:S8)</f>
        <v>23625.7333333333</v>
      </c>
      <c r="U8" s="181">
        <f t="shared" si="0"/>
        <v>80559.0666666667</v>
      </c>
    </row>
    <row r="9" customHeight="1" spans="1:21">
      <c r="A9" s="176" t="s">
        <v>87</v>
      </c>
      <c r="B9" s="137" t="s">
        <v>88</v>
      </c>
      <c r="C9" s="129">
        <v>1</v>
      </c>
      <c r="D9" s="117">
        <v>3000</v>
      </c>
      <c r="E9" s="117">
        <f t="shared" si="1"/>
        <v>36000</v>
      </c>
      <c r="F9" s="117">
        <f>D9*2*C9</f>
        <v>6000</v>
      </c>
      <c r="G9" s="117">
        <f>C9*100*12</f>
        <v>1200</v>
      </c>
      <c r="H9" s="117">
        <f t="shared" ref="H9:H14" si="9">11*D9/30*2*C9</f>
        <v>2200</v>
      </c>
      <c r="I9" s="143">
        <f t="shared" ref="I9:I14" si="10">SUM(E9:H9)</f>
        <v>45400</v>
      </c>
      <c r="J9" s="177">
        <f t="shared" si="2"/>
        <v>3783.33333333333</v>
      </c>
      <c r="K9" s="143">
        <f t="shared" si="3"/>
        <v>2180</v>
      </c>
      <c r="L9" s="178">
        <f t="shared" si="4"/>
        <v>9079.2</v>
      </c>
      <c r="M9" s="179">
        <f t="shared" si="5"/>
        <v>907.92</v>
      </c>
      <c r="N9" s="179">
        <f t="shared" si="6"/>
        <v>453.96</v>
      </c>
      <c r="O9" s="179">
        <f t="shared" si="7"/>
        <v>453.96</v>
      </c>
      <c r="P9" s="179">
        <f t="shared" si="8"/>
        <v>2723.76</v>
      </c>
      <c r="Q9" s="179">
        <v>0</v>
      </c>
      <c r="R9" s="179">
        <f t="shared" ref="R9:R14" si="11">I9*1.5%</f>
        <v>681</v>
      </c>
      <c r="S9" s="179">
        <f t="shared" ref="S9:S14" si="12">I9*10%</f>
        <v>4540</v>
      </c>
      <c r="T9" s="180">
        <f t="shared" ref="T9:T14" si="13">SUM(L9:S9)</f>
        <v>18839.8</v>
      </c>
      <c r="U9" s="181">
        <f t="shared" si="0"/>
        <v>64239.8</v>
      </c>
    </row>
    <row r="10" customHeight="1" spans="1:21">
      <c r="A10" s="176"/>
      <c r="B10" s="137" t="s">
        <v>89</v>
      </c>
      <c r="C10" s="129">
        <v>1</v>
      </c>
      <c r="D10" s="117">
        <v>1800</v>
      </c>
      <c r="E10" s="117">
        <f t="shared" si="1"/>
        <v>21600</v>
      </c>
      <c r="F10" s="117">
        <f>D10*1.5*C10</f>
        <v>2700</v>
      </c>
      <c r="G10" s="117">
        <v>0</v>
      </c>
      <c r="H10" s="117">
        <f>29*30*C10</f>
        <v>870</v>
      </c>
      <c r="I10" s="143">
        <f t="shared" si="10"/>
        <v>25170</v>
      </c>
      <c r="J10" s="177">
        <f t="shared" si="2"/>
        <v>2097.5</v>
      </c>
      <c r="K10" s="143">
        <f t="shared" si="3"/>
        <v>2180</v>
      </c>
      <c r="L10" s="178">
        <f t="shared" si="4"/>
        <v>5232</v>
      </c>
      <c r="M10" s="179">
        <f t="shared" si="5"/>
        <v>523.2</v>
      </c>
      <c r="N10" s="179">
        <f t="shared" si="6"/>
        <v>251.7</v>
      </c>
      <c r="O10" s="179">
        <f t="shared" si="7"/>
        <v>251.7</v>
      </c>
      <c r="P10" s="179">
        <f t="shared" si="8"/>
        <v>1510.2</v>
      </c>
      <c r="Q10" s="179">
        <v>0</v>
      </c>
      <c r="R10" s="179">
        <f t="shared" si="11"/>
        <v>377.55</v>
      </c>
      <c r="S10" s="179">
        <f t="shared" si="12"/>
        <v>2517</v>
      </c>
      <c r="T10" s="180">
        <f t="shared" si="13"/>
        <v>10663.35</v>
      </c>
      <c r="U10" s="181">
        <f t="shared" si="0"/>
        <v>35833.35</v>
      </c>
    </row>
    <row r="11" ht="43.5" customHeight="1" spans="1:21">
      <c r="A11" s="182" t="s">
        <v>90</v>
      </c>
      <c r="B11" s="112" t="s">
        <v>91</v>
      </c>
      <c r="C11" s="129">
        <v>1</v>
      </c>
      <c r="D11" s="117">
        <v>2000</v>
      </c>
      <c r="E11" s="117">
        <f t="shared" si="1"/>
        <v>24000</v>
      </c>
      <c r="F11" s="117">
        <f>D11*1.5*C11</f>
        <v>3000</v>
      </c>
      <c r="G11" s="117">
        <v>0</v>
      </c>
      <c r="H11" s="117">
        <v>0</v>
      </c>
      <c r="I11" s="143">
        <f t="shared" si="10"/>
        <v>27000</v>
      </c>
      <c r="J11" s="177">
        <f t="shared" si="2"/>
        <v>2250</v>
      </c>
      <c r="K11" s="143">
        <f t="shared" si="3"/>
        <v>2180</v>
      </c>
      <c r="L11" s="178">
        <f t="shared" si="4"/>
        <v>5400</v>
      </c>
      <c r="M11" s="179">
        <f t="shared" si="5"/>
        <v>540</v>
      </c>
      <c r="N11" s="179">
        <f t="shared" si="6"/>
        <v>270</v>
      </c>
      <c r="O11" s="179">
        <f t="shared" si="7"/>
        <v>270</v>
      </c>
      <c r="P11" s="179">
        <f t="shared" si="8"/>
        <v>1620</v>
      </c>
      <c r="Q11" s="179">
        <v>0</v>
      </c>
      <c r="R11" s="179">
        <f t="shared" si="11"/>
        <v>405</v>
      </c>
      <c r="S11" s="179">
        <f t="shared" si="12"/>
        <v>2700</v>
      </c>
      <c r="T11" s="180">
        <f t="shared" si="13"/>
        <v>11205</v>
      </c>
      <c r="U11" s="181">
        <f t="shared" si="0"/>
        <v>38205</v>
      </c>
    </row>
    <row r="12" customHeight="1" spans="1:21">
      <c r="A12" s="176" t="s">
        <v>92</v>
      </c>
      <c r="B12" s="137" t="s">
        <v>93</v>
      </c>
      <c r="C12" s="129">
        <v>1</v>
      </c>
      <c r="D12" s="117">
        <v>5000</v>
      </c>
      <c r="E12" s="117">
        <f t="shared" si="1"/>
        <v>60000</v>
      </c>
      <c r="F12" s="117">
        <f>D12*2*C12</f>
        <v>10000</v>
      </c>
      <c r="G12" s="117">
        <v>0</v>
      </c>
      <c r="H12" s="117">
        <f t="shared" si="9"/>
        <v>3666.66666666667</v>
      </c>
      <c r="I12" s="143">
        <f t="shared" si="10"/>
        <v>73666.6666666667</v>
      </c>
      <c r="J12" s="177">
        <f t="shared" si="2"/>
        <v>6138.88888888889</v>
      </c>
      <c r="K12" s="143">
        <f t="shared" si="3"/>
        <v>2180</v>
      </c>
      <c r="L12" s="178">
        <f t="shared" si="4"/>
        <v>14733.6</v>
      </c>
      <c r="M12" s="179">
        <f t="shared" si="5"/>
        <v>1473.36</v>
      </c>
      <c r="N12" s="179">
        <f t="shared" si="6"/>
        <v>736.68</v>
      </c>
      <c r="O12" s="179">
        <f t="shared" si="7"/>
        <v>736.68</v>
      </c>
      <c r="P12" s="179">
        <f t="shared" si="8"/>
        <v>4420.08</v>
      </c>
      <c r="Q12" s="179">
        <v>0</v>
      </c>
      <c r="R12" s="179">
        <f t="shared" si="11"/>
        <v>1105</v>
      </c>
      <c r="S12" s="179">
        <f t="shared" si="12"/>
        <v>7366.66666666667</v>
      </c>
      <c r="T12" s="180">
        <f t="shared" si="13"/>
        <v>30572.0666666667</v>
      </c>
      <c r="U12" s="181">
        <f t="shared" si="0"/>
        <v>104238.733333333</v>
      </c>
    </row>
    <row r="13" customHeight="1" spans="1:21">
      <c r="A13" s="176"/>
      <c r="B13" s="183" t="s">
        <v>94</v>
      </c>
      <c r="C13" s="129">
        <v>1</v>
      </c>
      <c r="D13" s="117">
        <v>3000</v>
      </c>
      <c r="E13" s="117">
        <f t="shared" si="1"/>
        <v>36000</v>
      </c>
      <c r="F13" s="117">
        <f>D13*2*C13</f>
        <v>6000</v>
      </c>
      <c r="G13" s="117">
        <v>0</v>
      </c>
      <c r="H13" s="117">
        <f t="shared" si="9"/>
        <v>2200</v>
      </c>
      <c r="I13" s="143">
        <f t="shared" si="10"/>
        <v>44200</v>
      </c>
      <c r="J13" s="177">
        <f t="shared" si="2"/>
        <v>3683.33333333333</v>
      </c>
      <c r="K13" s="143">
        <f t="shared" si="3"/>
        <v>2180</v>
      </c>
      <c r="L13" s="178">
        <f t="shared" si="4"/>
        <v>8839.2</v>
      </c>
      <c r="M13" s="179">
        <f t="shared" si="5"/>
        <v>883.92</v>
      </c>
      <c r="N13" s="179">
        <f t="shared" si="6"/>
        <v>441.96</v>
      </c>
      <c r="O13" s="179">
        <f t="shared" si="7"/>
        <v>441.96</v>
      </c>
      <c r="P13" s="179">
        <f t="shared" si="8"/>
        <v>2651.76</v>
      </c>
      <c r="Q13" s="179">
        <v>0</v>
      </c>
      <c r="R13" s="179">
        <f t="shared" si="11"/>
        <v>663</v>
      </c>
      <c r="S13" s="179">
        <f t="shared" si="12"/>
        <v>4420</v>
      </c>
      <c r="T13" s="180">
        <f t="shared" si="13"/>
        <v>18341.8</v>
      </c>
      <c r="U13" s="181">
        <f t="shared" si="0"/>
        <v>62541.8</v>
      </c>
    </row>
    <row r="14" customHeight="1" spans="1:21">
      <c r="A14" s="176"/>
      <c r="B14" s="184" t="s">
        <v>95</v>
      </c>
      <c r="C14" s="129">
        <v>5</v>
      </c>
      <c r="D14" s="117">
        <v>2200</v>
      </c>
      <c r="E14" s="117">
        <f t="shared" si="1"/>
        <v>132000</v>
      </c>
      <c r="F14" s="117">
        <f>D14*1.5*C14</f>
        <v>16500</v>
      </c>
      <c r="G14" s="117">
        <f>30*20*12</f>
        <v>7200</v>
      </c>
      <c r="H14" s="117">
        <f t="shared" si="9"/>
        <v>8066.66666666667</v>
      </c>
      <c r="I14" s="143">
        <f t="shared" si="10"/>
        <v>163766.666666667</v>
      </c>
      <c r="J14" s="177">
        <f t="shared" si="2"/>
        <v>2729.44444444444</v>
      </c>
      <c r="K14" s="143">
        <f t="shared" si="3"/>
        <v>2180</v>
      </c>
      <c r="L14" s="178">
        <f t="shared" si="4"/>
        <v>32748</v>
      </c>
      <c r="M14" s="179">
        <f t="shared" si="5"/>
        <v>3274.8</v>
      </c>
      <c r="N14" s="179">
        <f t="shared" si="6"/>
        <v>1637.4</v>
      </c>
      <c r="O14" s="179">
        <f t="shared" si="7"/>
        <v>1637.4</v>
      </c>
      <c r="P14" s="179">
        <f t="shared" si="8"/>
        <v>9824.4</v>
      </c>
      <c r="Q14" s="179">
        <v>0</v>
      </c>
      <c r="R14" s="179">
        <f t="shared" si="11"/>
        <v>2456.5</v>
      </c>
      <c r="S14" s="179">
        <f t="shared" si="12"/>
        <v>16376.6666666667</v>
      </c>
      <c r="T14" s="180">
        <f t="shared" si="13"/>
        <v>67955.1666666667</v>
      </c>
      <c r="U14" s="181">
        <f t="shared" si="0"/>
        <v>231721.833333333</v>
      </c>
    </row>
    <row r="15" customHeight="1" spans="1:21">
      <c r="A15" s="185" t="s">
        <v>96</v>
      </c>
      <c r="B15" s="186"/>
      <c r="C15" s="186">
        <f t="shared" ref="C15:I15" si="14">SUM(C4:C14)</f>
        <v>19</v>
      </c>
      <c r="D15" s="153">
        <f t="shared" si="14"/>
        <v>58000</v>
      </c>
      <c r="E15" s="153">
        <f t="shared" si="14"/>
        <v>915600</v>
      </c>
      <c r="F15" s="153">
        <f t="shared" si="14"/>
        <v>93200</v>
      </c>
      <c r="G15" s="153">
        <f t="shared" si="14"/>
        <v>15600</v>
      </c>
      <c r="H15" s="153">
        <f t="shared" si="14"/>
        <v>35703.3333333333</v>
      </c>
      <c r="I15" s="187">
        <f t="shared" si="14"/>
        <v>1060103.33333333</v>
      </c>
      <c r="J15" s="188"/>
      <c r="K15" s="187"/>
      <c r="L15" s="189">
        <f t="shared" ref="L15:Q15" si="15">SUM(L4:L14)</f>
        <v>152205.6</v>
      </c>
      <c r="M15" s="190">
        <f t="shared" si="15"/>
        <v>15220.56</v>
      </c>
      <c r="N15" s="190">
        <f t="shared" si="15"/>
        <v>7600.38</v>
      </c>
      <c r="O15" s="190">
        <f t="shared" si="15"/>
        <v>7600.38</v>
      </c>
      <c r="P15" s="190">
        <f t="shared" si="15"/>
        <v>45602.28</v>
      </c>
      <c r="Q15" s="190">
        <f t="shared" si="15"/>
        <v>0</v>
      </c>
      <c r="R15" s="153">
        <f t="shared" ref="R15:U15" si="16">SUM(R4:R14)</f>
        <v>10518.3833333333</v>
      </c>
      <c r="S15" s="153">
        <f t="shared" si="16"/>
        <v>106010.333333333</v>
      </c>
      <c r="T15" s="191">
        <f t="shared" si="16"/>
        <v>344757.916666667</v>
      </c>
      <c r="U15" s="192">
        <f t="shared" si="16"/>
        <v>1404861.25</v>
      </c>
    </row>
    <row r="16" customHeight="1" spans="1:21">
      <c r="P16" s="55"/>
    </row>
    <row r="17" customHeight="1" spans="2:11">
      <c r="B17" t="s">
        <v>97</v>
      </c>
      <c r="E17" s="53">
        <v>2180</v>
      </c>
      <c r="J17" s="53"/>
      <c r="K17" s="53"/>
    </row>
    <row r="19" customHeight="1" spans="2:11">
      <c r="H19" s="193"/>
    </row>
  </sheetData>
  <mergeCells count="11">
    <mergeCell ref="A1:U1"/>
    <mergeCell ref="A2:C2"/>
    <mergeCell ref="D2:I2"/>
    <mergeCell ref="J2:T2"/>
    <mergeCell ref="A3:B3"/>
    <mergeCell ref="A15:B15"/>
    <mergeCell ref="A4:A5"/>
    <mergeCell ref="A6:A8"/>
    <mergeCell ref="A9:A10"/>
    <mergeCell ref="A12:A14"/>
    <mergeCell ref="U2:U3"/>
  </mergeCells>
  <printOptions horizontalCentered="1" gridLines="1"/>
  <pageMargins left="0.16" right="0.16" top="0.98" bottom="0.98" header="0.51" footer="0.51"/>
  <pageSetup paperSize="9" scale="41" fitToHeight="4" orientation="landscape"/>
  <headerFooter alignWithMargins="0">
    <oddFooter>&amp;C第 &amp;P 页，共 &amp;N 页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5"/>
  <sheetViews>
    <sheetView zoomScale="115" zoomScaleNormal="115" topLeftCell="B1" workbookViewId="0">
      <selection activeCell="Q9" sqref="Q9"/>
    </sheetView>
  </sheetViews>
  <sheetFormatPr defaultColWidth="9" defaultRowHeight="28.5" customHeight="1"/>
  <cols>
    <col min="1" max="1" width="15.7583333333333" style="20" customWidth="1"/>
    <col min="2" max="2" width="20.65" style="20" customWidth="1"/>
    <col min="3" max="13" width="13.3666666666667" style="20" customWidth="1"/>
    <col min="14" max="14" width="13.475" style="20" customWidth="1"/>
    <col min="15" max="15" width="14.3416666666667" style="20" customWidth="1"/>
    <col min="16" max="16384" width="9" style="20"/>
  </cols>
  <sheetData>
    <row r="1" customHeight="1" spans="1:16">
      <c r="A1" s="103" t="s">
        <v>98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5"/>
    </row>
    <row r="2" customHeight="1" spans="1:16">
      <c r="A2" s="106" t="s">
        <v>36</v>
      </c>
      <c r="B2" s="107"/>
      <c r="C2" s="108"/>
      <c r="D2" s="108"/>
      <c r="E2" s="108"/>
      <c r="F2" s="108"/>
      <c r="G2" s="108"/>
      <c r="H2" s="108"/>
      <c r="I2" s="108"/>
      <c r="J2" s="109"/>
      <c r="K2" s="109"/>
      <c r="L2" s="109"/>
      <c r="M2" s="109"/>
      <c r="N2" s="109"/>
      <c r="O2" s="110"/>
    </row>
    <row r="3" customHeight="1" spans="1:16">
      <c r="A3" s="111" t="s">
        <v>99</v>
      </c>
      <c r="B3" s="112"/>
      <c r="C3" s="113" t="s">
        <v>100</v>
      </c>
      <c r="D3" s="113" t="s">
        <v>101</v>
      </c>
      <c r="E3" s="113" t="s">
        <v>102</v>
      </c>
      <c r="F3" s="113" t="s">
        <v>103</v>
      </c>
      <c r="G3" s="113" t="s">
        <v>104</v>
      </c>
      <c r="H3" s="113" t="s">
        <v>105</v>
      </c>
      <c r="I3" s="114" t="s">
        <v>106</v>
      </c>
      <c r="J3" s="114" t="s">
        <v>107</v>
      </c>
      <c r="K3" s="114" t="s">
        <v>108</v>
      </c>
      <c r="L3" s="114" t="s">
        <v>109</v>
      </c>
      <c r="M3" s="114" t="s">
        <v>110</v>
      </c>
      <c r="N3" s="114" t="s">
        <v>111</v>
      </c>
      <c r="O3" s="115" t="s">
        <v>112</v>
      </c>
    </row>
    <row r="4" customHeight="1" spans="1:16">
      <c r="A4" s="116" t="s">
        <v>113</v>
      </c>
      <c r="B4" s="112" t="s">
        <v>114</v>
      </c>
      <c r="C4" s="117">
        <v>30000</v>
      </c>
      <c r="D4" s="117">
        <v>30000</v>
      </c>
      <c r="E4" s="117">
        <v>30000</v>
      </c>
      <c r="F4" s="117">
        <v>30000</v>
      </c>
      <c r="G4" s="117">
        <v>30000</v>
      </c>
      <c r="H4" s="117">
        <v>30000</v>
      </c>
      <c r="I4" s="117">
        <v>30000</v>
      </c>
      <c r="J4" s="117">
        <v>30000</v>
      </c>
      <c r="K4" s="117">
        <v>30000</v>
      </c>
      <c r="L4" s="117">
        <v>30000</v>
      </c>
      <c r="M4" s="117">
        <v>30000</v>
      </c>
      <c r="N4" s="117">
        <v>30000</v>
      </c>
      <c r="O4" s="118">
        <f>SUM(C4:N4)</f>
        <v>360000</v>
      </c>
    </row>
    <row r="5" customHeight="1" spans="1:16">
      <c r="A5" s="116"/>
      <c r="B5" s="112" t="s">
        <v>115</v>
      </c>
      <c r="C5" s="117">
        <v>6000</v>
      </c>
      <c r="D5" s="117">
        <v>6000</v>
      </c>
      <c r="E5" s="117">
        <v>6000</v>
      </c>
      <c r="F5" s="117">
        <v>6000</v>
      </c>
      <c r="G5" s="117">
        <v>6000</v>
      </c>
      <c r="H5" s="117">
        <v>6000</v>
      </c>
      <c r="I5" s="117">
        <v>6000</v>
      </c>
      <c r="J5" s="117">
        <v>6000</v>
      </c>
      <c r="K5" s="117">
        <v>6000</v>
      </c>
      <c r="L5" s="117">
        <v>6000</v>
      </c>
      <c r="M5" s="117">
        <v>6000</v>
      </c>
      <c r="N5" s="117">
        <v>6000</v>
      </c>
      <c r="O5" s="118">
        <f>SUM(C5:N5)</f>
        <v>72000</v>
      </c>
    </row>
    <row r="6" customHeight="1" spans="1:16">
      <c r="A6" s="116"/>
      <c r="B6" s="112" t="s">
        <v>116</v>
      </c>
      <c r="C6" s="117">
        <v>1000</v>
      </c>
      <c r="D6" s="117">
        <v>1000</v>
      </c>
      <c r="E6" s="117">
        <v>1000</v>
      </c>
      <c r="F6" s="117">
        <v>1000</v>
      </c>
      <c r="G6" s="117">
        <v>1000</v>
      </c>
      <c r="H6" s="117">
        <v>1000</v>
      </c>
      <c r="I6" s="117">
        <v>1000</v>
      </c>
      <c r="J6" s="117">
        <v>1000</v>
      </c>
      <c r="K6" s="117">
        <v>1000</v>
      </c>
      <c r="L6" s="117">
        <v>1000</v>
      </c>
      <c r="M6" s="117">
        <v>1000</v>
      </c>
      <c r="N6" s="117">
        <v>1000</v>
      </c>
      <c r="O6" s="118">
        <f>SUM(C6:N6)</f>
        <v>12000</v>
      </c>
    </row>
    <row r="7" customHeight="1" spans="1:16">
      <c r="A7" s="116"/>
      <c r="B7" s="119" t="s">
        <v>117</v>
      </c>
      <c r="C7" s="117">
        <v>5000</v>
      </c>
      <c r="D7" s="117">
        <v>5000</v>
      </c>
      <c r="E7" s="117">
        <v>5000</v>
      </c>
      <c r="F7" s="117">
        <v>5000</v>
      </c>
      <c r="G7" s="117">
        <v>5000</v>
      </c>
      <c r="H7" s="117">
        <v>5000</v>
      </c>
      <c r="I7" s="117">
        <v>5000</v>
      </c>
      <c r="J7" s="117">
        <v>5000</v>
      </c>
      <c r="K7" s="117">
        <v>5000</v>
      </c>
      <c r="L7" s="117">
        <v>5000</v>
      </c>
      <c r="M7" s="117">
        <v>5000</v>
      </c>
      <c r="N7" s="117">
        <v>5000</v>
      </c>
      <c r="O7" s="118">
        <f>SUM(C7:N7)</f>
        <v>60000</v>
      </c>
    </row>
    <row r="8" customHeight="1" spans="1:16">
      <c r="A8" s="116"/>
      <c r="B8" s="112" t="s">
        <v>118</v>
      </c>
      <c r="C8" s="117">
        <v>0</v>
      </c>
      <c r="D8" s="117">
        <v>1200</v>
      </c>
      <c r="E8" s="117">
        <v>3600</v>
      </c>
      <c r="F8" s="117">
        <v>4600</v>
      </c>
      <c r="G8" s="117">
        <v>4600</v>
      </c>
      <c r="H8" s="117">
        <v>4600</v>
      </c>
      <c r="I8" s="117">
        <v>4600</v>
      </c>
      <c r="J8" s="117">
        <v>4600</v>
      </c>
      <c r="K8" s="117">
        <v>4600</v>
      </c>
      <c r="L8" s="117">
        <v>3600</v>
      </c>
      <c r="M8" s="117">
        <v>1200</v>
      </c>
      <c r="N8" s="117">
        <v>0</v>
      </c>
      <c r="O8" s="118">
        <f>SUM(C8:N8)</f>
        <v>37200</v>
      </c>
    </row>
    <row r="9" customHeight="1" spans="1:16">
      <c r="A9" s="120"/>
      <c r="B9" s="121" t="s">
        <v>13</v>
      </c>
      <c r="C9" s="122">
        <f t="shared" ref="C9:O9" si="0">SUM(C4:C8)</f>
        <v>42000</v>
      </c>
      <c r="D9" s="122">
        <f t="shared" si="0"/>
        <v>43200</v>
      </c>
      <c r="E9" s="122">
        <f t="shared" si="0"/>
        <v>45600</v>
      </c>
      <c r="F9" s="122">
        <f t="shared" si="0"/>
        <v>46600</v>
      </c>
      <c r="G9" s="122">
        <f t="shared" si="0"/>
        <v>46600</v>
      </c>
      <c r="H9" s="122">
        <f t="shared" si="0"/>
        <v>46600</v>
      </c>
      <c r="I9" s="122">
        <f t="shared" si="0"/>
        <v>46600</v>
      </c>
      <c r="J9" s="122">
        <f t="shared" si="0"/>
        <v>46600</v>
      </c>
      <c r="K9" s="122">
        <f t="shared" si="0"/>
        <v>46600</v>
      </c>
      <c r="L9" s="122">
        <f t="shared" si="0"/>
        <v>45600</v>
      </c>
      <c r="M9" s="122">
        <f t="shared" si="0"/>
        <v>43200</v>
      </c>
      <c r="N9" s="122">
        <f t="shared" si="0"/>
        <v>42000</v>
      </c>
      <c r="O9" s="123">
        <f t="shared" si="0"/>
        <v>541200</v>
      </c>
    </row>
    <row r="10" customHeight="1" spans="1:16">
      <c r="A10" s="111" t="s">
        <v>119</v>
      </c>
      <c r="B10" s="112"/>
      <c r="C10" s="113" t="s">
        <v>100</v>
      </c>
      <c r="D10" s="113" t="s">
        <v>101</v>
      </c>
      <c r="E10" s="113" t="s">
        <v>102</v>
      </c>
      <c r="F10" s="113" t="s">
        <v>103</v>
      </c>
      <c r="G10" s="113" t="s">
        <v>104</v>
      </c>
      <c r="H10" s="113" t="s">
        <v>105</v>
      </c>
      <c r="I10" s="114" t="s">
        <v>106</v>
      </c>
      <c r="J10" s="114" t="s">
        <v>107</v>
      </c>
      <c r="K10" s="114" t="s">
        <v>108</v>
      </c>
      <c r="L10" s="114" t="s">
        <v>109</v>
      </c>
      <c r="M10" s="114" t="s">
        <v>110</v>
      </c>
      <c r="N10" s="114" t="s">
        <v>111</v>
      </c>
      <c r="O10" s="115" t="s">
        <v>112</v>
      </c>
    </row>
    <row r="11" customHeight="1" spans="1:16">
      <c r="A11" s="116" t="s">
        <v>120</v>
      </c>
      <c r="B11" s="112" t="s">
        <v>121</v>
      </c>
      <c r="C11" s="124" t="s">
        <v>122</v>
      </c>
      <c r="D11" s="124" t="s">
        <v>122</v>
      </c>
      <c r="E11" s="124">
        <v>3000</v>
      </c>
      <c r="F11" s="124">
        <v>3000</v>
      </c>
      <c r="G11" s="124">
        <v>4000</v>
      </c>
      <c r="H11" s="124">
        <v>5000</v>
      </c>
      <c r="I11" s="125">
        <v>5500</v>
      </c>
      <c r="J11" s="125">
        <v>5500</v>
      </c>
      <c r="K11" s="125">
        <v>5500</v>
      </c>
      <c r="L11" s="125">
        <v>5500</v>
      </c>
      <c r="M11" s="125">
        <v>5500</v>
      </c>
      <c r="N11" s="125">
        <v>0</v>
      </c>
      <c r="O11" s="126">
        <f>SUM(C11:N11)</f>
        <v>42500</v>
      </c>
    </row>
    <row r="12" customHeight="1" spans="1:16">
      <c r="A12" s="116"/>
      <c r="B12" s="112" t="s">
        <v>123</v>
      </c>
      <c r="C12" s="124">
        <v>800</v>
      </c>
      <c r="D12" s="124">
        <v>800</v>
      </c>
      <c r="E12" s="124">
        <v>800</v>
      </c>
      <c r="F12" s="124">
        <v>800</v>
      </c>
      <c r="G12" s="124">
        <v>800</v>
      </c>
      <c r="H12" s="124">
        <v>800</v>
      </c>
      <c r="I12" s="125">
        <v>800</v>
      </c>
      <c r="J12" s="125">
        <v>800</v>
      </c>
      <c r="K12" s="125">
        <v>800</v>
      </c>
      <c r="L12" s="125">
        <v>800</v>
      </c>
      <c r="M12" s="125">
        <v>800</v>
      </c>
      <c r="N12" s="125">
        <v>800</v>
      </c>
      <c r="O12" s="126">
        <f>SUM(C12:N12)</f>
        <v>9600</v>
      </c>
    </row>
    <row r="13" customHeight="1" spans="1:16">
      <c r="A13" s="116"/>
      <c r="B13" s="112" t="s">
        <v>124</v>
      </c>
      <c r="C13" s="127">
        <v>0</v>
      </c>
      <c r="D13" s="127">
        <v>0</v>
      </c>
      <c r="E13" s="127">
        <v>4000</v>
      </c>
      <c r="F13" s="127">
        <v>4000</v>
      </c>
      <c r="G13" s="127">
        <v>6600</v>
      </c>
      <c r="H13" s="127">
        <v>6600</v>
      </c>
      <c r="I13" s="128">
        <v>6600</v>
      </c>
      <c r="J13" s="128">
        <v>6600</v>
      </c>
      <c r="K13" s="128">
        <v>6600</v>
      </c>
      <c r="L13" s="128">
        <v>6600</v>
      </c>
      <c r="M13" s="128">
        <v>4000</v>
      </c>
      <c r="N13" s="128">
        <v>0</v>
      </c>
      <c r="O13" s="126">
        <f>SUM(C13:N13)</f>
        <v>51600</v>
      </c>
    </row>
    <row r="14" customHeight="1" spans="1:16">
      <c r="A14" s="116"/>
      <c r="B14" s="121" t="s">
        <v>13</v>
      </c>
      <c r="C14" s="127">
        <f>SUM(C11:C13)</f>
        <v>800</v>
      </c>
      <c r="D14" s="127">
        <f t="shared" ref="D14:O14" si="1">SUM(D11:D13)</f>
        <v>800</v>
      </c>
      <c r="E14" s="127">
        <f t="shared" si="1"/>
        <v>7800</v>
      </c>
      <c r="F14" s="127">
        <f t="shared" si="1"/>
        <v>7800</v>
      </c>
      <c r="G14" s="127">
        <f t="shared" si="1"/>
        <v>11400</v>
      </c>
      <c r="H14" s="127">
        <f t="shared" si="1"/>
        <v>12400</v>
      </c>
      <c r="I14" s="127">
        <f t="shared" si="1"/>
        <v>12900</v>
      </c>
      <c r="J14" s="127">
        <f t="shared" si="1"/>
        <v>12900</v>
      </c>
      <c r="K14" s="127">
        <f t="shared" si="1"/>
        <v>12900</v>
      </c>
      <c r="L14" s="127">
        <f t="shared" si="1"/>
        <v>12900</v>
      </c>
      <c r="M14" s="127">
        <f t="shared" si="1"/>
        <v>10300</v>
      </c>
      <c r="N14" s="127">
        <f t="shared" si="1"/>
        <v>800</v>
      </c>
      <c r="O14" s="123">
        <f t="shared" si="1"/>
        <v>103700</v>
      </c>
      <c r="P14" s="69"/>
    </row>
    <row r="15" customHeight="1" spans="1:16">
      <c r="A15" s="111" t="s">
        <v>125</v>
      </c>
      <c r="B15" s="112"/>
      <c r="C15" s="112"/>
      <c r="D15" s="114" t="s">
        <v>49</v>
      </c>
      <c r="E15" s="114" t="s">
        <v>126</v>
      </c>
      <c r="F15" s="112"/>
      <c r="G15" s="129"/>
      <c r="H15" s="112"/>
      <c r="I15" s="112"/>
      <c r="J15" s="112"/>
      <c r="K15" s="112"/>
      <c r="L15" s="112"/>
      <c r="M15" s="112"/>
      <c r="N15" s="112"/>
      <c r="O15" s="130" t="s">
        <v>112</v>
      </c>
    </row>
    <row r="16" customHeight="1" spans="1:16">
      <c r="A16" s="131"/>
      <c r="B16" s="114" t="s">
        <v>127</v>
      </c>
      <c r="C16" s="129"/>
      <c r="D16" s="132">
        <v>40</v>
      </c>
      <c r="E16" s="133">
        <v>3000</v>
      </c>
      <c r="F16" s="134"/>
      <c r="G16" s="114"/>
      <c r="H16" s="114"/>
      <c r="I16" s="112"/>
      <c r="J16" s="112"/>
      <c r="K16" s="112"/>
      <c r="L16" s="112"/>
      <c r="M16" s="112"/>
      <c r="N16" s="112"/>
      <c r="O16" s="135">
        <f>D16*E16</f>
        <v>120000</v>
      </c>
    </row>
    <row r="17" customHeight="1" spans="1:16">
      <c r="A17" s="136"/>
      <c r="B17" s="114" t="s">
        <v>128</v>
      </c>
      <c r="C17" s="129"/>
      <c r="D17" s="132">
        <v>40</v>
      </c>
      <c r="E17" s="133">
        <v>600</v>
      </c>
      <c r="F17" s="137"/>
      <c r="G17" s="114"/>
      <c r="H17" s="114"/>
      <c r="I17" s="112"/>
      <c r="J17" s="117"/>
      <c r="K17" s="112"/>
      <c r="L17" s="112"/>
      <c r="M17" s="112"/>
      <c r="N17" s="112"/>
      <c r="O17" s="135">
        <f>D17*E17</f>
        <v>24000</v>
      </c>
    </row>
    <row r="18" customHeight="1" spans="1:16">
      <c r="A18" s="136"/>
      <c r="B18" s="2" t="s">
        <v>13</v>
      </c>
      <c r="C18" s="114"/>
      <c r="D18" s="114"/>
      <c r="E18" s="114"/>
      <c r="F18" s="134"/>
      <c r="G18" s="114"/>
      <c r="H18" s="134"/>
      <c r="I18" s="138"/>
      <c r="J18" s="112"/>
      <c r="K18" s="112"/>
      <c r="L18" s="112"/>
      <c r="M18" s="112"/>
      <c r="N18" s="112"/>
      <c r="O18" s="123">
        <f>SUM(O16:O17)</f>
        <v>144000</v>
      </c>
    </row>
    <row r="19" customHeight="1" spans="1:16">
      <c r="A19" s="111" t="s">
        <v>129</v>
      </c>
      <c r="B19" s="121"/>
      <c r="C19" s="121"/>
      <c r="D19" s="2" t="s">
        <v>49</v>
      </c>
      <c r="E19" s="2" t="s">
        <v>130</v>
      </c>
      <c r="F19" s="81"/>
      <c r="G19" s="121"/>
      <c r="H19" s="139"/>
      <c r="I19" s="121"/>
      <c r="J19" s="121"/>
      <c r="K19" s="121"/>
      <c r="L19" s="121"/>
      <c r="M19" s="121"/>
      <c r="N19" s="121"/>
      <c r="O19" s="140" t="s">
        <v>112</v>
      </c>
      <c r="P19" s="43"/>
    </row>
    <row r="20" customHeight="1" spans="1:16">
      <c r="A20" s="111"/>
      <c r="B20" s="112" t="s">
        <v>131</v>
      </c>
      <c r="C20" s="121"/>
      <c r="D20" s="2"/>
      <c r="E20" s="134">
        <v>3000</v>
      </c>
      <c r="F20" s="137"/>
      <c r="G20" s="138"/>
      <c r="H20" s="137"/>
      <c r="I20" s="121"/>
      <c r="J20" s="121"/>
      <c r="K20" s="121"/>
      <c r="L20" s="121"/>
      <c r="M20" s="121"/>
      <c r="N20" s="121"/>
      <c r="O20" s="141">
        <f>SUM(E20*12)</f>
        <v>36000</v>
      </c>
      <c r="P20" s="43"/>
    </row>
    <row r="21" customHeight="1" spans="1:16">
      <c r="A21" s="120"/>
      <c r="B21" s="112" t="s">
        <v>132</v>
      </c>
      <c r="C21" s="112"/>
      <c r="D21" s="142">
        <v>40</v>
      </c>
      <c r="E21" s="134">
        <v>20</v>
      </c>
      <c r="F21" s="137"/>
      <c r="G21" s="122"/>
      <c r="H21" s="137"/>
      <c r="I21" s="112"/>
      <c r="J21" s="112"/>
      <c r="K21" s="112"/>
      <c r="L21" s="112"/>
      <c r="M21" s="112"/>
      <c r="N21" s="112"/>
      <c r="O21" s="143">
        <f>SUM(D21*E21)</f>
        <v>800</v>
      </c>
      <c r="P21" s="43"/>
    </row>
    <row r="22" customHeight="1" spans="1:16">
      <c r="A22" s="120"/>
      <c r="B22" s="112" t="s">
        <v>133</v>
      </c>
      <c r="C22" s="112"/>
      <c r="D22" s="142">
        <v>20</v>
      </c>
      <c r="E22" s="134">
        <v>150</v>
      </c>
      <c r="F22" s="137"/>
      <c r="G22" s="122"/>
      <c r="H22" s="137"/>
      <c r="I22" s="112"/>
      <c r="J22" s="112"/>
      <c r="K22" s="112"/>
      <c r="L22" s="112"/>
      <c r="M22" s="112"/>
      <c r="N22" s="112"/>
      <c r="O22" s="143">
        <f>SUM(D22*E22)</f>
        <v>3000</v>
      </c>
      <c r="P22" s="43"/>
    </row>
    <row r="23" customHeight="1" spans="1:16">
      <c r="A23" s="120"/>
      <c r="B23" s="112" t="s">
        <v>134</v>
      </c>
      <c r="C23" s="112"/>
      <c r="D23" s="142">
        <v>58</v>
      </c>
      <c r="E23" s="134">
        <v>40</v>
      </c>
      <c r="F23" s="137"/>
      <c r="G23" s="122"/>
      <c r="H23" s="137"/>
      <c r="I23" s="112"/>
      <c r="J23" s="112"/>
      <c r="K23" s="112"/>
      <c r="L23" s="112"/>
      <c r="M23" s="112"/>
      <c r="N23" s="112"/>
      <c r="O23" s="143">
        <f>SUM(D23*E23)</f>
        <v>2320</v>
      </c>
      <c r="P23" s="43"/>
    </row>
    <row r="24" customHeight="1" spans="1:16">
      <c r="A24" s="120"/>
      <c r="B24" s="121" t="s">
        <v>13</v>
      </c>
      <c r="C24" s="112"/>
      <c r="D24" s="112"/>
      <c r="E24" s="112"/>
      <c r="F24" s="137"/>
      <c r="G24" s="122"/>
      <c r="H24" s="137"/>
      <c r="I24" s="112"/>
      <c r="J24" s="112"/>
      <c r="K24" s="112"/>
      <c r="L24" s="112"/>
      <c r="M24" s="112"/>
      <c r="N24" s="112"/>
      <c r="O24" s="143">
        <f>SUM(O21:O23)</f>
        <v>6120</v>
      </c>
      <c r="P24" s="43"/>
    </row>
    <row r="25" customHeight="1" spans="1:16">
      <c r="A25" s="120"/>
      <c r="B25" s="121"/>
      <c r="C25" s="112"/>
      <c r="D25" s="112"/>
      <c r="E25" s="112"/>
      <c r="F25" s="137"/>
      <c r="G25" s="122"/>
      <c r="H25" s="112"/>
      <c r="I25" s="112"/>
      <c r="J25" s="112"/>
      <c r="K25" s="112"/>
      <c r="L25" s="112"/>
      <c r="M25" s="112"/>
      <c r="N25" s="112"/>
      <c r="O25" s="144">
        <f>SUM(O20:O24)</f>
        <v>48240</v>
      </c>
      <c r="P25" s="43"/>
    </row>
    <row r="26" customHeight="1" spans="1:16">
      <c r="A26" s="111" t="s">
        <v>135</v>
      </c>
      <c r="B26" s="121"/>
      <c r="C26" s="121"/>
      <c r="D26" s="121" t="s">
        <v>136</v>
      </c>
      <c r="E26" s="137"/>
      <c r="F26" s="145"/>
      <c r="G26" s="137"/>
      <c r="H26" s="145"/>
      <c r="I26" s="121"/>
      <c r="J26" s="121"/>
      <c r="K26" s="121"/>
      <c r="L26" s="121"/>
      <c r="M26" s="121"/>
      <c r="N26" s="121"/>
      <c r="O26" s="140" t="s">
        <v>112</v>
      </c>
      <c r="P26" s="43"/>
    </row>
    <row r="27" customHeight="1" spans="1:16">
      <c r="A27" s="120"/>
      <c r="B27" s="112" t="s">
        <v>137</v>
      </c>
      <c r="C27" s="112"/>
      <c r="D27" s="112"/>
      <c r="E27" s="137"/>
      <c r="F27" s="122"/>
      <c r="G27" s="137"/>
      <c r="H27" s="122"/>
      <c r="I27" s="112"/>
      <c r="J27" s="112"/>
      <c r="K27" s="112"/>
      <c r="L27" s="112"/>
      <c r="M27" s="112"/>
      <c r="N27" s="112"/>
      <c r="O27" s="118"/>
      <c r="P27" s="43"/>
    </row>
    <row r="28" customHeight="1" spans="1:16">
      <c r="A28" s="120"/>
      <c r="B28" s="112" t="s">
        <v>138</v>
      </c>
      <c r="C28" s="112"/>
      <c r="D28" s="112"/>
      <c r="E28" s="137"/>
      <c r="F28" s="122"/>
      <c r="G28" s="137"/>
      <c r="H28" s="122"/>
      <c r="I28" s="112"/>
      <c r="J28" s="112"/>
      <c r="K28" s="112"/>
      <c r="L28" s="112"/>
      <c r="M28" s="112"/>
      <c r="N28" s="112"/>
      <c r="O28" s="118"/>
      <c r="P28" s="43"/>
    </row>
    <row r="29" customHeight="1" spans="1:16">
      <c r="A29" s="120"/>
      <c r="B29" s="112" t="s">
        <v>139</v>
      </c>
      <c r="C29" s="112"/>
      <c r="D29" s="112"/>
      <c r="E29" s="137"/>
      <c r="F29" s="122"/>
      <c r="G29" s="137"/>
      <c r="H29" s="122"/>
      <c r="I29" s="112"/>
      <c r="J29" s="112"/>
      <c r="K29" s="112"/>
      <c r="L29" s="112"/>
      <c r="M29" s="112"/>
      <c r="N29" s="112"/>
      <c r="O29" s="118"/>
      <c r="P29" s="43"/>
    </row>
    <row r="30" customHeight="1" spans="1:16">
      <c r="A30" s="120"/>
      <c r="B30" s="112" t="s">
        <v>140</v>
      </c>
      <c r="C30" s="112"/>
      <c r="D30" s="112"/>
      <c r="E30" s="137"/>
      <c r="F30" s="122"/>
      <c r="G30" s="137"/>
      <c r="H30" s="122"/>
      <c r="I30" s="112"/>
      <c r="J30" s="112"/>
      <c r="K30" s="112"/>
      <c r="L30" s="112"/>
      <c r="M30" s="112"/>
      <c r="N30" s="112"/>
      <c r="O30" s="118"/>
      <c r="P30" s="43"/>
    </row>
    <row r="31" customHeight="1" spans="1:16">
      <c r="A31" s="120"/>
      <c r="B31" s="112" t="s">
        <v>141</v>
      </c>
      <c r="C31" s="112"/>
      <c r="D31" s="112"/>
      <c r="E31" s="137"/>
      <c r="F31" s="122"/>
      <c r="G31" s="137"/>
      <c r="H31" s="122"/>
      <c r="I31" s="112"/>
      <c r="J31" s="112"/>
      <c r="K31" s="112"/>
      <c r="L31" s="112"/>
      <c r="M31" s="112"/>
      <c r="N31" s="112"/>
      <c r="O31" s="118"/>
      <c r="P31" s="43"/>
    </row>
    <row r="32" customHeight="1" spans="1:16">
      <c r="A32" s="120"/>
      <c r="B32" s="112" t="s">
        <v>142</v>
      </c>
      <c r="C32" s="119"/>
      <c r="D32" s="112"/>
      <c r="E32" s="137"/>
      <c r="F32" s="122"/>
      <c r="G32" s="137"/>
      <c r="H32" s="122"/>
      <c r="I32" s="112"/>
      <c r="J32" s="112"/>
      <c r="K32" s="112"/>
      <c r="L32" s="112"/>
      <c r="M32" s="112"/>
      <c r="N32" s="112"/>
      <c r="O32" s="118"/>
      <c r="P32" s="43"/>
    </row>
    <row r="33" customHeight="1" spans="1:16">
      <c r="A33" s="120"/>
      <c r="B33" s="112" t="s">
        <v>143</v>
      </c>
      <c r="C33" s="112"/>
      <c r="D33" s="146"/>
      <c r="E33" s="137"/>
      <c r="F33" s="122"/>
      <c r="G33" s="137"/>
      <c r="H33" s="122"/>
      <c r="I33" s="112"/>
      <c r="J33" s="112"/>
      <c r="K33" s="112"/>
      <c r="L33" s="112"/>
      <c r="M33" s="112"/>
      <c r="N33" s="112"/>
      <c r="O33" s="118"/>
      <c r="P33" s="43"/>
    </row>
    <row r="34" customHeight="1" spans="1:16">
      <c r="A34" s="120"/>
      <c r="B34" s="112"/>
      <c r="C34" s="112"/>
      <c r="D34" s="147">
        <v>3000</v>
      </c>
      <c r="E34" s="148">
        <v>12</v>
      </c>
      <c r="F34" s="137"/>
      <c r="G34" s="137"/>
      <c r="H34" s="122"/>
      <c r="I34" s="112"/>
      <c r="J34" s="112"/>
      <c r="K34" s="112"/>
      <c r="L34" s="112"/>
      <c r="M34" s="112"/>
      <c r="N34" s="112"/>
      <c r="O34" s="143">
        <f>SUM(E34*D34)</f>
        <v>36000</v>
      </c>
      <c r="P34" s="43"/>
    </row>
    <row r="35" customHeight="1" spans="1:16">
      <c r="A35" s="120"/>
      <c r="B35" s="121" t="s">
        <v>13</v>
      </c>
      <c r="C35" s="112"/>
      <c r="D35" s="81"/>
      <c r="E35" s="137"/>
      <c r="F35" s="137"/>
      <c r="G35" s="137"/>
      <c r="H35" s="122"/>
      <c r="I35" s="112"/>
      <c r="J35" s="112"/>
      <c r="K35" s="112"/>
      <c r="L35" s="112"/>
      <c r="M35" s="112"/>
      <c r="N35" s="112"/>
      <c r="O35" s="123">
        <f>SUM(O27:O34)</f>
        <v>36000</v>
      </c>
      <c r="P35" s="43"/>
    </row>
    <row r="36" customHeight="1" spans="1:16">
      <c r="A36" s="111" t="s">
        <v>144</v>
      </c>
      <c r="B36" s="121"/>
      <c r="C36" s="145" t="s">
        <v>145</v>
      </c>
      <c r="D36" s="145" t="s">
        <v>146</v>
      </c>
      <c r="E36" s="2"/>
      <c r="F36" s="2" t="s">
        <v>37</v>
      </c>
      <c r="G36" s="137"/>
      <c r="H36" s="122"/>
      <c r="I36" s="2"/>
      <c r="J36" s="121"/>
      <c r="K36" s="121"/>
      <c r="L36" s="121"/>
      <c r="M36" s="121"/>
      <c r="N36" s="121"/>
      <c r="O36" s="140"/>
      <c r="P36" s="43"/>
    </row>
    <row r="37" customHeight="1" spans="1:16">
      <c r="A37" s="120"/>
      <c r="B37" s="112" t="s">
        <v>147</v>
      </c>
      <c r="C37" s="142">
        <v>12</v>
      </c>
      <c r="D37" s="117">
        <v>2000</v>
      </c>
      <c r="E37" s="142"/>
      <c r="F37" s="81"/>
      <c r="G37" s="137"/>
      <c r="H37" s="122"/>
      <c r="I37" s="122"/>
      <c r="J37" s="112"/>
      <c r="K37" s="112"/>
      <c r="L37" s="112"/>
      <c r="M37" s="112"/>
      <c r="N37" s="112"/>
      <c r="O37" s="149">
        <f>C37*D37</f>
        <v>24000</v>
      </c>
      <c r="P37" s="43"/>
    </row>
    <row r="38" customHeight="1" spans="1:16">
      <c r="A38" s="120"/>
      <c r="B38" s="112" t="s">
        <v>148</v>
      </c>
      <c r="C38" s="142">
        <v>12</v>
      </c>
      <c r="D38" s="117">
        <v>2000</v>
      </c>
      <c r="E38" s="142"/>
      <c r="F38" s="81"/>
      <c r="G38" s="137"/>
      <c r="H38" s="122"/>
      <c r="I38" s="122"/>
      <c r="J38" s="112"/>
      <c r="K38" s="112"/>
      <c r="L38" s="112"/>
      <c r="M38" s="112"/>
      <c r="N38" s="112"/>
      <c r="O38" s="149">
        <f>C38*D38</f>
        <v>24000</v>
      </c>
      <c r="P38" s="43"/>
    </row>
    <row r="39" customHeight="1" spans="1:16">
      <c r="A39" s="120"/>
      <c r="B39" s="121" t="s">
        <v>13</v>
      </c>
      <c r="C39" s="112"/>
      <c r="D39" s="112"/>
      <c r="E39" s="112"/>
      <c r="F39" s="117"/>
      <c r="G39" s="117"/>
      <c r="H39" s="122"/>
      <c r="I39" s="117"/>
      <c r="J39" s="117"/>
      <c r="K39" s="117"/>
      <c r="L39" s="112"/>
      <c r="M39" s="112"/>
      <c r="N39" s="112"/>
      <c r="O39" s="123">
        <f>SUM(O37:O38)</f>
        <v>48000</v>
      </c>
      <c r="P39" s="43"/>
    </row>
    <row r="40" customHeight="1" spans="1:16">
      <c r="A40" s="111" t="s">
        <v>149</v>
      </c>
      <c r="B40" s="112"/>
      <c r="C40" s="112"/>
      <c r="D40" s="112"/>
      <c r="E40" s="112"/>
      <c r="F40" s="117"/>
      <c r="G40" s="122"/>
      <c r="H40" s="122"/>
      <c r="I40" s="112"/>
      <c r="J40" s="112"/>
      <c r="K40" s="112"/>
      <c r="L40" s="112"/>
      <c r="M40" s="112"/>
      <c r="N40" s="112"/>
      <c r="O40" s="140"/>
      <c r="P40" s="43"/>
    </row>
    <row r="41" ht="55.5" customHeight="1" spans="1:16">
      <c r="A41" s="120"/>
      <c r="B41" s="119" t="s">
        <v>150</v>
      </c>
      <c r="C41" s="142">
        <v>12</v>
      </c>
      <c r="D41" s="117">
        <v>1500</v>
      </c>
      <c r="E41" s="119"/>
      <c r="F41" s="81"/>
      <c r="G41" s="137"/>
      <c r="H41" s="122"/>
      <c r="I41" s="112"/>
      <c r="J41" s="112"/>
      <c r="K41" s="112"/>
      <c r="L41" s="112"/>
      <c r="M41" s="112"/>
      <c r="N41" s="112"/>
      <c r="O41" s="149">
        <f>C41*D41</f>
        <v>18000</v>
      </c>
      <c r="P41" s="43"/>
    </row>
    <row r="42" customHeight="1" spans="1:16">
      <c r="A42" s="120"/>
      <c r="B42" s="121" t="s">
        <v>13</v>
      </c>
      <c r="C42" s="112"/>
      <c r="D42" s="112"/>
      <c r="E42" s="112"/>
      <c r="F42" s="117"/>
      <c r="G42" s="122"/>
      <c r="H42" s="122"/>
      <c r="I42" s="112"/>
      <c r="J42" s="112"/>
      <c r="K42" s="112"/>
      <c r="L42" s="112"/>
      <c r="M42" s="112"/>
      <c r="N42" s="112"/>
      <c r="O42" s="123">
        <f>SUM(O41)</f>
        <v>18000</v>
      </c>
      <c r="P42" s="43"/>
    </row>
    <row r="43" customHeight="1" spans="1:16">
      <c r="A43" s="120"/>
      <c r="B43" s="112"/>
      <c r="C43" s="112"/>
      <c r="D43" s="112"/>
      <c r="E43" s="112"/>
      <c r="F43" s="117"/>
      <c r="G43" s="122"/>
      <c r="H43" s="122"/>
      <c r="I43" s="112"/>
      <c r="J43" s="112"/>
      <c r="K43" s="112"/>
      <c r="L43" s="112"/>
      <c r="M43" s="112"/>
      <c r="N43" s="112"/>
      <c r="O43" s="123"/>
      <c r="P43" s="43"/>
    </row>
    <row r="44" customHeight="1" spans="1:16">
      <c r="A44" s="150" t="s">
        <v>56</v>
      </c>
      <c r="B44" s="151"/>
      <c r="C44" s="152"/>
      <c r="D44" s="152"/>
      <c r="E44" s="152"/>
      <c r="F44" s="153"/>
      <c r="G44" s="154"/>
      <c r="H44" s="154"/>
      <c r="I44" s="152"/>
      <c r="J44" s="152"/>
      <c r="K44" s="152"/>
      <c r="L44" s="152"/>
      <c r="M44" s="152"/>
      <c r="N44" s="152"/>
      <c r="O44" s="155">
        <f>O42+O39+O35+O18+O25+O14+O9</f>
        <v>939140</v>
      </c>
      <c r="P44" s="43"/>
    </row>
    <row r="45" customHeight="1" spans="1:16">
      <c r="F45" s="44"/>
      <c r="G45" s="99"/>
      <c r="H45" s="99"/>
      <c r="O45" s="101"/>
    </row>
    <row r="46" customHeight="1" spans="1:16">
      <c r="F46" s="44"/>
      <c r="G46" s="99"/>
      <c r="H46" s="99"/>
      <c r="O46" s="101"/>
    </row>
    <row r="47" customHeight="1" spans="1:16">
      <c r="F47" s="44"/>
      <c r="G47" s="99"/>
      <c r="H47" s="99"/>
      <c r="O47" s="101"/>
    </row>
    <row r="48" customHeight="1" spans="1:16">
      <c r="F48" s="44"/>
      <c r="G48" s="99"/>
      <c r="H48" s="99"/>
      <c r="O48" s="101"/>
    </row>
    <row r="49" customHeight="1" spans="6:15">
      <c r="F49" s="44"/>
      <c r="G49" s="99"/>
      <c r="H49" s="99"/>
      <c r="O49" s="101"/>
    </row>
    <row r="50" customHeight="1" spans="6:15">
      <c r="F50" s="44"/>
      <c r="G50" s="99"/>
      <c r="H50" s="99"/>
      <c r="O50" s="101"/>
    </row>
    <row r="51" customHeight="1" spans="6:15">
      <c r="F51" s="44"/>
      <c r="G51" s="99"/>
      <c r="H51" s="99"/>
      <c r="O51" s="101"/>
    </row>
    <row r="52" customHeight="1" spans="6:15">
      <c r="F52" s="44"/>
      <c r="G52" s="99"/>
      <c r="H52" s="99"/>
      <c r="O52" s="101"/>
    </row>
    <row r="53" customHeight="1" spans="6:15">
      <c r="F53" s="44"/>
      <c r="G53" s="99"/>
      <c r="H53" s="99"/>
      <c r="O53" s="101"/>
    </row>
    <row r="54" customHeight="1" spans="6:15">
      <c r="F54" s="44"/>
      <c r="G54" s="99"/>
      <c r="H54" s="99"/>
      <c r="O54" s="101"/>
    </row>
    <row r="55" customHeight="1" spans="6:15">
      <c r="F55" s="44"/>
      <c r="G55" s="99"/>
      <c r="H55" s="99"/>
      <c r="O55" s="101"/>
    </row>
  </sheetData>
  <mergeCells count="4">
    <mergeCell ref="A1:O1"/>
    <mergeCell ref="A2:B2"/>
    <mergeCell ref="A4:A8"/>
    <mergeCell ref="A11:A14"/>
  </mergeCells>
  <printOptions horizontalCentered="1"/>
  <pageMargins left="0.16" right="0.16" top="0.98" bottom="0.98" header="0.51" footer="0.51"/>
  <pageSetup paperSize="9" scale="63" orientation="landscape"/>
  <headerFooter alignWithMargins="0">
    <oddFooter>&amp;C第 &amp;P 页，共 &amp;N 页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6"/>
  <sheetViews>
    <sheetView zoomScale="75" zoomScaleNormal="75" workbookViewId="0">
      <selection activeCell="A1" sqref="A1:O1"/>
    </sheetView>
  </sheetViews>
  <sheetFormatPr defaultColWidth="9" defaultRowHeight="14.25"/>
  <cols>
    <col min="1" max="2" width="9" style="20"/>
    <col min="3" max="3" width="17.875" style="20" customWidth="1"/>
    <col min="4" max="4" width="14.375" style="20" customWidth="1"/>
    <col min="5" max="5" width="11.875" style="20" customWidth="1"/>
    <col min="6" max="6" width="14.75" style="20" customWidth="1"/>
    <col min="7" max="7" width="12.125" style="20" customWidth="1"/>
    <col min="8" max="13" width="13.25" style="20" customWidth="1"/>
    <col min="14" max="14" width="14.125" style="20" customWidth="1"/>
    <col min="15" max="15" width="17.5" style="20" customWidth="1"/>
    <col min="16" max="16384" width="9" style="20"/>
  </cols>
  <sheetData>
    <row r="1" ht="25.5" spans="1:15">
      <c r="A1" s="63" t="s">
        <v>151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ht="22.5" customHeight="1" spans="1:15">
      <c r="A2" s="93" t="s">
        <v>36</v>
      </c>
      <c r="B2" s="93"/>
      <c r="C2" s="93"/>
      <c r="D2" s="93"/>
      <c r="E2" s="80"/>
      <c r="F2" s="80"/>
      <c r="G2" s="80"/>
      <c r="H2" s="80"/>
      <c r="I2" s="83"/>
      <c r="J2" s="83"/>
      <c r="K2" s="83"/>
      <c r="L2" s="83"/>
      <c r="M2" s="83"/>
      <c r="N2" s="83"/>
      <c r="O2" s="83"/>
    </row>
    <row r="3" ht="22.5" customHeight="1" spans="1:15">
      <c r="A3" s="66" t="s">
        <v>152</v>
      </c>
      <c r="B3" s="67"/>
      <c r="C3" s="87"/>
      <c r="D3" s="94"/>
      <c r="E3" s="94" t="s">
        <v>153</v>
      </c>
      <c r="F3" s="87" t="s">
        <v>154</v>
      </c>
      <c r="G3" s="87"/>
      <c r="H3" s="87"/>
      <c r="I3" s="87"/>
      <c r="J3" s="87"/>
      <c r="K3" s="87"/>
      <c r="L3" s="87"/>
      <c r="M3" s="87"/>
      <c r="N3" s="87"/>
      <c r="O3" s="95"/>
    </row>
    <row r="4" ht="22.5" customHeight="1" spans="1:15">
      <c r="A4" s="43"/>
      <c r="B4" s="43" t="s">
        <v>155</v>
      </c>
      <c r="C4" s="44"/>
      <c r="D4" s="43"/>
      <c r="E4" s="44">
        <v>42000</v>
      </c>
      <c r="F4" s="96">
        <v>12</v>
      </c>
      <c r="G4" s="44"/>
      <c r="H4" s="44"/>
      <c r="I4" s="44"/>
      <c r="J4" s="44"/>
      <c r="K4" s="44"/>
      <c r="L4" s="44"/>
      <c r="M4" s="44"/>
      <c r="N4" s="44"/>
      <c r="O4" s="47">
        <f>F4*E4</f>
        <v>504000</v>
      </c>
    </row>
    <row r="5" ht="22.5" customHeight="1" spans="1:15">
      <c r="A5" s="67"/>
      <c r="B5" s="66" t="s">
        <v>13</v>
      </c>
      <c r="C5" s="87"/>
      <c r="D5" s="94"/>
      <c r="E5" s="94"/>
      <c r="F5" s="87"/>
      <c r="G5" s="87"/>
      <c r="H5" s="87"/>
      <c r="I5" s="87"/>
      <c r="J5" s="87"/>
      <c r="K5" s="87"/>
      <c r="L5" s="87"/>
      <c r="M5" s="87"/>
      <c r="N5" s="87"/>
      <c r="O5" s="68">
        <f>SUM(O4)</f>
        <v>504000</v>
      </c>
    </row>
    <row r="6" ht="22.5" customHeight="1" spans="1:15">
      <c r="A6" s="42" t="s">
        <v>156</v>
      </c>
      <c r="B6" s="43"/>
      <c r="C6" s="44"/>
      <c r="D6" s="45" t="s">
        <v>157</v>
      </c>
      <c r="E6" s="45" t="s">
        <v>40</v>
      </c>
      <c r="F6" s="44"/>
      <c r="G6" s="44"/>
      <c r="H6" s="44"/>
      <c r="I6" s="44"/>
      <c r="J6" s="44"/>
      <c r="K6" s="44"/>
      <c r="L6" s="44"/>
      <c r="M6" s="44"/>
      <c r="N6" s="44"/>
      <c r="O6" s="47"/>
    </row>
    <row r="7" ht="22.5" customHeight="1" spans="1:15">
      <c r="A7" s="42"/>
      <c r="B7" s="43" t="s">
        <v>158</v>
      </c>
      <c r="C7" s="44"/>
      <c r="D7" s="97">
        <v>2</v>
      </c>
      <c r="E7" s="45">
        <v>6000</v>
      </c>
      <c r="F7" s="44"/>
      <c r="G7" s="44"/>
      <c r="H7" s="44"/>
      <c r="I7" s="44"/>
      <c r="J7" s="44"/>
      <c r="K7" s="44"/>
      <c r="L7" s="44"/>
      <c r="M7" s="44"/>
      <c r="N7" s="44"/>
      <c r="O7" s="47">
        <f>E7*D7</f>
        <v>12000</v>
      </c>
    </row>
    <row r="8" ht="22.5" customHeight="1" spans="1:15">
      <c r="A8" s="67"/>
      <c r="B8" s="66" t="s">
        <v>13</v>
      </c>
      <c r="C8" s="87"/>
      <c r="D8" s="67"/>
      <c r="E8" s="87"/>
      <c r="F8" s="87"/>
      <c r="G8" s="67"/>
      <c r="H8" s="87"/>
      <c r="I8" s="87"/>
      <c r="J8" s="87"/>
      <c r="K8" s="87"/>
      <c r="L8" s="87"/>
      <c r="M8" s="87"/>
      <c r="N8" s="87"/>
      <c r="O8" s="68">
        <f>SUM(O6:O7)</f>
        <v>12000</v>
      </c>
    </row>
    <row r="9" ht="22.5" customHeight="1" spans="1:15">
      <c r="A9" s="42" t="s">
        <v>159</v>
      </c>
      <c r="B9" s="43"/>
      <c r="C9" s="44"/>
      <c r="D9" s="45" t="s">
        <v>49</v>
      </c>
      <c r="E9" s="45" t="s">
        <v>160</v>
      </c>
      <c r="F9" s="45" t="s">
        <v>154</v>
      </c>
      <c r="G9" s="44"/>
      <c r="H9" s="44"/>
      <c r="I9" s="44"/>
      <c r="J9" s="44"/>
      <c r="K9" s="44"/>
      <c r="L9" s="44"/>
      <c r="M9" s="44"/>
      <c r="N9" s="44"/>
      <c r="O9" s="47"/>
    </row>
    <row r="10" ht="22.5" customHeight="1" spans="1:15">
      <c r="A10" s="43"/>
      <c r="B10" s="43" t="s">
        <v>161</v>
      </c>
      <c r="C10" s="44"/>
      <c r="D10" s="98">
        <v>0</v>
      </c>
      <c r="E10" s="98">
        <v>2500</v>
      </c>
      <c r="F10" s="44">
        <f>E10*12</f>
        <v>30000</v>
      </c>
      <c r="G10" s="44"/>
      <c r="H10" s="44"/>
      <c r="I10" s="44"/>
      <c r="J10" s="44"/>
      <c r="K10" s="44"/>
      <c r="L10" s="44"/>
      <c r="M10" s="44"/>
      <c r="N10" s="44"/>
      <c r="O10" s="47">
        <f>F10</f>
        <v>30000</v>
      </c>
    </row>
    <row r="11" ht="22.5" customHeight="1" spans="1:15">
      <c r="A11" s="67"/>
      <c r="B11" s="66" t="s">
        <v>13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68">
        <f>SUM(O9:O10)</f>
        <v>30000</v>
      </c>
    </row>
    <row r="12" ht="22.5" customHeight="1" spans="1:15">
      <c r="A12" s="43"/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7"/>
    </row>
    <row r="13" ht="22.5" customHeight="1" spans="1:15">
      <c r="A13" s="66" t="s">
        <v>56</v>
      </c>
      <c r="B13" s="66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68">
        <f>SUM(O11+O8+O5)</f>
        <v>546000</v>
      </c>
    </row>
    <row r="14" ht="22.5" customHeight="1" spans="1:15">
      <c r="C14" s="44"/>
      <c r="D14" s="45"/>
      <c r="E14" s="45"/>
      <c r="F14" s="44"/>
      <c r="G14" s="44"/>
      <c r="H14" s="44"/>
      <c r="I14" s="44"/>
      <c r="J14" s="44"/>
      <c r="K14" s="44"/>
      <c r="L14" s="44"/>
      <c r="M14" s="44"/>
      <c r="N14" s="44"/>
      <c r="O14" s="99"/>
    </row>
    <row r="15" ht="22.5" customHeight="1" spans="1:15">
      <c r="C15" s="44"/>
      <c r="D15" s="45"/>
      <c r="E15" s="45"/>
      <c r="F15" s="44"/>
      <c r="G15" s="44"/>
      <c r="H15" s="44"/>
      <c r="I15" s="44"/>
      <c r="J15" s="44"/>
      <c r="K15" s="44"/>
      <c r="L15" s="44"/>
      <c r="M15" s="44"/>
      <c r="N15" s="44"/>
      <c r="O15" s="99"/>
    </row>
    <row r="16" ht="22.5" customHeight="1" spans="1:15">
      <c r="C16" s="44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99"/>
    </row>
    <row r="17" ht="22.5" customHeight="1" spans="1:15">
      <c r="C17" s="44"/>
      <c r="D17" s="45"/>
      <c r="E17" s="45"/>
      <c r="F17" s="44"/>
      <c r="G17" s="44"/>
      <c r="H17" s="44"/>
      <c r="I17" s="44"/>
      <c r="J17" s="44"/>
      <c r="K17" s="44"/>
      <c r="L17" s="44"/>
      <c r="M17" s="44"/>
      <c r="N17" s="44"/>
      <c r="O17" s="99"/>
    </row>
    <row r="18" ht="22.5" customHeight="1" spans="1:15">
      <c r="C18" s="44"/>
      <c r="D18" s="45"/>
      <c r="E18" s="45"/>
      <c r="F18" s="44"/>
      <c r="G18" s="44"/>
      <c r="H18" s="44"/>
      <c r="I18" s="44"/>
      <c r="J18" s="44"/>
      <c r="K18" s="44"/>
      <c r="L18" s="44"/>
      <c r="M18" s="44"/>
      <c r="N18" s="44"/>
      <c r="O18" s="99"/>
    </row>
    <row r="19" ht="22.5" customHeight="1" spans="1:15">
      <c r="C19" s="44"/>
      <c r="D19" s="45"/>
      <c r="E19" s="45"/>
      <c r="F19" s="44"/>
      <c r="G19" s="44"/>
      <c r="H19" s="44"/>
      <c r="I19" s="44"/>
      <c r="J19" s="44"/>
      <c r="K19" s="44"/>
      <c r="L19" s="44"/>
      <c r="M19" s="44"/>
      <c r="N19" s="44"/>
      <c r="O19" s="99"/>
    </row>
    <row r="20" ht="22.5" customHeight="1" spans="1:15">
      <c r="C20" s="44"/>
      <c r="D20" s="45"/>
      <c r="E20" s="45"/>
      <c r="F20" s="44"/>
      <c r="G20" s="44"/>
      <c r="H20" s="44"/>
      <c r="I20" s="44"/>
      <c r="J20" s="44"/>
      <c r="K20" s="44"/>
      <c r="L20" s="44"/>
      <c r="M20" s="44"/>
      <c r="N20" s="44"/>
      <c r="O20" s="99"/>
    </row>
    <row r="21" ht="22.5" customHeight="1" spans="1:15">
      <c r="C21" s="44"/>
      <c r="D21" s="45"/>
      <c r="E21" s="45"/>
      <c r="F21" s="44"/>
      <c r="G21" s="44"/>
      <c r="H21" s="44"/>
      <c r="I21" s="44"/>
      <c r="J21" s="44"/>
      <c r="K21" s="44"/>
      <c r="L21" s="44"/>
      <c r="M21" s="44"/>
      <c r="N21" s="44"/>
      <c r="O21" s="99"/>
    </row>
    <row r="22" spans="1:15">
      <c r="A22" s="100"/>
      <c r="F22" s="44"/>
      <c r="O22" s="101"/>
    </row>
    <row r="23" spans="1:15">
      <c r="F23" s="44"/>
      <c r="G23" s="44"/>
      <c r="O23" s="101"/>
    </row>
    <row r="24" spans="1:15">
      <c r="F24" s="44"/>
      <c r="G24" s="44"/>
      <c r="O24" s="101"/>
    </row>
    <row r="25" spans="1:15">
      <c r="F25" s="44"/>
      <c r="G25" s="44"/>
      <c r="O25" s="101"/>
    </row>
    <row r="26" spans="1:15">
      <c r="F26" s="44"/>
      <c r="G26" s="44"/>
      <c r="O26" s="101"/>
    </row>
    <row r="27" spans="1:15">
      <c r="F27" s="44"/>
      <c r="G27" s="44"/>
      <c r="O27" s="101"/>
    </row>
    <row r="28" spans="1:15">
      <c r="F28" s="44"/>
      <c r="G28" s="44"/>
      <c r="O28" s="101"/>
    </row>
    <row r="29" spans="1:15">
      <c r="F29" s="44"/>
      <c r="G29" s="44"/>
      <c r="O29" s="101"/>
    </row>
    <row r="30" spans="1:15">
      <c r="F30" s="44"/>
      <c r="G30" s="44"/>
      <c r="O30" s="101"/>
    </row>
    <row r="31" spans="1:15">
      <c r="F31" s="44"/>
      <c r="G31" s="44"/>
      <c r="O31" s="101"/>
    </row>
    <row r="32" spans="1:15">
      <c r="F32" s="44"/>
      <c r="G32" s="44"/>
      <c r="O32" s="101"/>
    </row>
    <row r="33" spans="1:15">
      <c r="F33" s="44"/>
      <c r="G33" s="44"/>
      <c r="O33" s="101"/>
    </row>
    <row r="34" spans="1:15">
      <c r="F34" s="44"/>
      <c r="G34" s="44"/>
      <c r="O34" s="101"/>
    </row>
    <row r="35" spans="1:15">
      <c r="F35" s="44"/>
      <c r="G35" s="44"/>
      <c r="O35" s="101"/>
    </row>
    <row r="36" spans="1:15">
      <c r="F36" s="44"/>
      <c r="G36" s="44"/>
      <c r="O36" s="101"/>
    </row>
    <row r="37" spans="1:15">
      <c r="F37" s="44"/>
      <c r="G37" s="44"/>
      <c r="O37" s="101"/>
    </row>
    <row r="38" spans="1:15">
      <c r="F38" s="44"/>
      <c r="G38" s="44"/>
      <c r="O38" s="101"/>
    </row>
    <row r="39" spans="1:15">
      <c r="F39" s="44"/>
      <c r="G39" s="44"/>
      <c r="O39" s="101"/>
    </row>
    <row r="40" spans="1:15">
      <c r="F40" s="44"/>
      <c r="G40" s="44"/>
      <c r="O40" s="101"/>
    </row>
    <row r="41" spans="1:15">
      <c r="B41" s="100"/>
      <c r="F41" s="44"/>
      <c r="O41" s="101"/>
    </row>
    <row r="42" spans="1:15">
      <c r="F42" s="44"/>
      <c r="O42" s="101"/>
    </row>
    <row r="43" spans="1:15">
      <c r="A43" s="100"/>
      <c r="D43" s="65"/>
      <c r="E43" s="65"/>
      <c r="F43" s="44"/>
      <c r="O43" s="101"/>
    </row>
    <row r="44" spans="1:15">
      <c r="F44" s="44"/>
      <c r="G44" s="99"/>
      <c r="H44" s="99"/>
      <c r="O44" s="101"/>
    </row>
    <row r="45" spans="1:15">
      <c r="E45" s="44"/>
      <c r="F45" s="44"/>
      <c r="G45" s="99"/>
      <c r="H45" s="99"/>
      <c r="O45" s="101"/>
    </row>
    <row r="46" spans="1:15">
      <c r="E46" s="44"/>
      <c r="F46" s="44"/>
      <c r="G46" s="99"/>
      <c r="H46" s="99"/>
      <c r="O46" s="101"/>
    </row>
    <row r="47" spans="1:15">
      <c r="E47" s="44"/>
      <c r="F47" s="44"/>
      <c r="G47" s="99"/>
      <c r="H47" s="99"/>
      <c r="O47" s="101"/>
    </row>
    <row r="48" spans="1:15">
      <c r="B48" s="100"/>
      <c r="F48" s="44"/>
      <c r="O48" s="101"/>
    </row>
    <row r="49" spans="1:15">
      <c r="F49" s="44"/>
      <c r="G49" s="99"/>
      <c r="H49" s="99"/>
      <c r="O49" s="101"/>
    </row>
    <row r="50" spans="1:15">
      <c r="A50" s="100"/>
      <c r="F50" s="44"/>
      <c r="G50" s="102"/>
      <c r="H50" s="102"/>
      <c r="O50" s="101"/>
    </row>
    <row r="51" spans="1:15">
      <c r="F51" s="44"/>
      <c r="G51" s="99"/>
      <c r="H51" s="99"/>
      <c r="O51" s="101"/>
    </row>
    <row r="52" spans="1:15">
      <c r="F52" s="44"/>
      <c r="G52" s="99"/>
      <c r="H52" s="99"/>
      <c r="O52" s="101"/>
    </row>
    <row r="53" spans="1:15">
      <c r="F53" s="44"/>
      <c r="G53" s="99"/>
      <c r="H53" s="99"/>
      <c r="O53" s="101"/>
    </row>
    <row r="54" spans="1:15">
      <c r="F54" s="44"/>
      <c r="G54" s="99"/>
      <c r="H54" s="99"/>
      <c r="O54" s="101"/>
    </row>
    <row r="55" spans="1:15">
      <c r="F55" s="44"/>
      <c r="G55" s="99"/>
      <c r="H55" s="99"/>
      <c r="O55" s="101"/>
    </row>
    <row r="56" spans="1:15">
      <c r="F56" s="44"/>
      <c r="G56" s="99"/>
      <c r="H56" s="99"/>
      <c r="O56" s="101"/>
    </row>
    <row r="57" spans="1:15">
      <c r="F57" s="44"/>
      <c r="G57" s="99"/>
      <c r="H57" s="99"/>
      <c r="O57" s="101"/>
    </row>
    <row r="58" spans="1:15">
      <c r="F58" s="44"/>
      <c r="G58" s="99"/>
      <c r="H58" s="99"/>
      <c r="O58" s="101"/>
    </row>
    <row r="59" spans="1:15">
      <c r="B59" s="100"/>
      <c r="F59" s="44"/>
      <c r="G59" s="99"/>
      <c r="H59" s="99"/>
      <c r="O59" s="101"/>
    </row>
    <row r="60" spans="1:15">
      <c r="F60" s="44"/>
      <c r="G60" s="99"/>
      <c r="H60" s="99"/>
      <c r="O60" s="101"/>
    </row>
    <row r="61" spans="1:15">
      <c r="A61" s="100"/>
      <c r="F61" s="102"/>
      <c r="G61" s="102"/>
      <c r="O61" s="101"/>
    </row>
    <row r="62" spans="1:15">
      <c r="G62" s="99"/>
      <c r="I62" s="99"/>
      <c r="O62" s="101"/>
    </row>
    <row r="63" spans="1:15">
      <c r="G63" s="99"/>
      <c r="I63" s="99"/>
      <c r="O63" s="101"/>
    </row>
    <row r="64" spans="1:15">
      <c r="G64" s="99"/>
      <c r="I64" s="99"/>
      <c r="O64" s="101"/>
    </row>
    <row r="65" spans="1:15">
      <c r="G65" s="99"/>
      <c r="I65" s="99"/>
      <c r="O65" s="101"/>
    </row>
    <row r="66" spans="1:15">
      <c r="G66" s="99"/>
      <c r="I66" s="99"/>
      <c r="O66" s="101"/>
    </row>
    <row r="67" spans="1:15">
      <c r="G67" s="99"/>
      <c r="I67" s="99"/>
      <c r="O67" s="101"/>
    </row>
    <row r="68" spans="1:15">
      <c r="G68" s="99"/>
      <c r="I68" s="99"/>
      <c r="O68" s="101"/>
    </row>
    <row r="69" spans="1:15">
      <c r="B69" s="100"/>
      <c r="F69" s="44"/>
      <c r="G69" s="99"/>
      <c r="H69" s="99"/>
      <c r="O69" s="101"/>
    </row>
    <row r="70" spans="1:15">
      <c r="F70" s="44"/>
      <c r="G70" s="99"/>
      <c r="H70" s="99"/>
      <c r="O70" s="101"/>
    </row>
    <row r="71" spans="1:15">
      <c r="A71" s="100"/>
      <c r="F71" s="44"/>
      <c r="G71" s="99"/>
      <c r="H71" s="99"/>
      <c r="O71" s="101"/>
    </row>
    <row r="72" spans="1:15">
      <c r="F72" s="44"/>
      <c r="G72" s="99"/>
      <c r="H72" s="99"/>
      <c r="O72" s="101"/>
    </row>
    <row r="73" spans="1:15">
      <c r="F73" s="44"/>
      <c r="G73" s="99"/>
      <c r="H73" s="99"/>
      <c r="O73" s="101"/>
    </row>
    <row r="74" spans="1:15">
      <c r="F74" s="44"/>
      <c r="G74" s="99"/>
      <c r="H74" s="99"/>
      <c r="O74" s="101"/>
    </row>
    <row r="75" spans="1:15">
      <c r="F75" s="44"/>
      <c r="G75" s="99"/>
      <c r="H75" s="99"/>
      <c r="O75" s="101"/>
    </row>
    <row r="76" spans="1:15">
      <c r="F76" s="44"/>
      <c r="G76" s="99"/>
      <c r="H76" s="99"/>
      <c r="O76" s="101"/>
    </row>
    <row r="77" spans="1:15">
      <c r="F77" s="44"/>
      <c r="G77" s="99"/>
      <c r="H77" s="99"/>
      <c r="O77" s="101"/>
    </row>
    <row r="78" spans="1:15">
      <c r="B78" s="100"/>
      <c r="F78" s="44"/>
      <c r="G78" s="99"/>
      <c r="H78" s="99"/>
      <c r="O78" s="101"/>
    </row>
    <row r="79" spans="1:15">
      <c r="F79" s="44"/>
      <c r="G79" s="99"/>
      <c r="H79" s="99"/>
      <c r="O79" s="101"/>
    </row>
    <row r="80" spans="1:15">
      <c r="A80" s="100"/>
      <c r="F80" s="44"/>
      <c r="G80" s="99"/>
      <c r="H80" s="99"/>
      <c r="O80" s="101"/>
    </row>
    <row r="81" spans="2:15">
      <c r="F81" s="44"/>
      <c r="G81" s="99"/>
      <c r="H81" s="99"/>
      <c r="O81" s="101"/>
    </row>
    <row r="82" spans="2:15">
      <c r="F82" s="44"/>
      <c r="G82" s="99"/>
      <c r="H82" s="99"/>
      <c r="O82" s="101"/>
    </row>
    <row r="83" spans="2:15">
      <c r="B83" s="100"/>
      <c r="F83" s="44"/>
      <c r="G83" s="99"/>
      <c r="H83" s="99"/>
      <c r="O83" s="101"/>
    </row>
    <row r="84" spans="2:15">
      <c r="F84" s="44"/>
      <c r="G84" s="99"/>
      <c r="H84" s="99"/>
      <c r="O84" s="101"/>
    </row>
    <row r="85" spans="2:15">
      <c r="F85" s="44"/>
      <c r="G85" s="99"/>
      <c r="H85" s="99"/>
      <c r="O85" s="101"/>
    </row>
    <row r="86" spans="2:15">
      <c r="F86" s="44"/>
      <c r="G86" s="99"/>
      <c r="H86" s="99"/>
      <c r="O86" s="101"/>
    </row>
    <row r="87" spans="2:15">
      <c r="F87" s="44"/>
      <c r="G87" s="99"/>
      <c r="H87" s="99"/>
      <c r="O87" s="101"/>
    </row>
    <row r="88" spans="2:15">
      <c r="F88" s="44"/>
      <c r="G88" s="99"/>
      <c r="H88" s="99"/>
      <c r="O88" s="101"/>
    </row>
    <row r="89" spans="2:15">
      <c r="F89" s="44"/>
      <c r="G89" s="99"/>
      <c r="H89" s="99"/>
      <c r="O89" s="101"/>
    </row>
    <row r="90" spans="2:15">
      <c r="F90" s="44"/>
      <c r="G90" s="99"/>
      <c r="H90" s="99"/>
      <c r="O90" s="101"/>
    </row>
    <row r="91" spans="2:15">
      <c r="F91" s="44"/>
      <c r="G91" s="99"/>
      <c r="H91" s="99"/>
      <c r="O91" s="101"/>
    </row>
    <row r="92" spans="2:15">
      <c r="F92" s="44"/>
      <c r="G92" s="99"/>
      <c r="H92" s="99"/>
      <c r="O92" s="101"/>
    </row>
    <row r="93" spans="2:15">
      <c r="F93" s="44"/>
      <c r="G93" s="99"/>
      <c r="H93" s="99"/>
      <c r="O93" s="101"/>
    </row>
    <row r="94" spans="2:15">
      <c r="F94" s="44"/>
      <c r="G94" s="99"/>
      <c r="H94" s="99"/>
      <c r="O94" s="101"/>
    </row>
    <row r="95" spans="2:15">
      <c r="F95" s="44"/>
      <c r="G95" s="99"/>
      <c r="H95" s="99"/>
      <c r="O95" s="101"/>
    </row>
    <row r="96" spans="2:15">
      <c r="F96" s="44"/>
      <c r="G96" s="99"/>
      <c r="H96" s="99"/>
      <c r="O96" s="101"/>
    </row>
  </sheetData>
  <mergeCells count="2">
    <mergeCell ref="A1:O1"/>
    <mergeCell ref="G2:H2"/>
  </mergeCells>
  <printOptions horizontalCentered="1"/>
  <pageMargins left="0.16" right="0.16" top="0.98" bottom="0.98" header="0.51" footer="0.51"/>
  <pageSetup paperSize="9" scale="67" orientation="landscape" verticalDpi="1200"/>
  <headerFooter alignWithMargins="0">
    <oddFooter>&amp;C第 &amp;P 页，共 &amp;N 页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3"/>
  <sheetViews>
    <sheetView zoomScale="55" zoomScaleNormal="55" workbookViewId="0">
      <selection activeCell="S16" sqref="S16"/>
    </sheetView>
  </sheetViews>
  <sheetFormatPr defaultColWidth="9" defaultRowHeight="28.5" customHeight="1"/>
  <cols>
    <col min="3" max="4" width="13.25" customWidth="1"/>
    <col min="5" max="5" width="12.125" customWidth="1"/>
    <col min="6" max="6" width="14.5" customWidth="1"/>
    <col min="7" max="7" width="13.75" customWidth="1"/>
    <col min="8" max="9" width="13.25" customWidth="1"/>
    <col min="10" max="14" width="9.76666666666667" customWidth="1"/>
    <col min="15" max="15" width="17.5" customWidth="1"/>
  </cols>
  <sheetData>
    <row r="1" customHeight="1" spans="1:15">
      <c r="A1" s="21" t="s">
        <v>162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customHeight="1" spans="1:15">
      <c r="A2" s="62" t="s">
        <v>36</v>
      </c>
      <c r="B2" s="62"/>
      <c r="C2" s="62"/>
      <c r="D2" s="62"/>
      <c r="E2" s="1"/>
      <c r="F2" s="1"/>
      <c r="G2" s="1"/>
      <c r="H2" s="1"/>
    </row>
    <row r="3" customHeight="1" spans="1:15">
      <c r="A3" s="26" t="s">
        <v>163</v>
      </c>
      <c r="B3" s="27"/>
      <c r="C3" s="54"/>
      <c r="D3" s="89" t="s">
        <v>49</v>
      </c>
      <c r="E3" s="89" t="s">
        <v>164</v>
      </c>
      <c r="F3" s="89" t="s">
        <v>165</v>
      </c>
      <c r="G3" s="89" t="s">
        <v>37</v>
      </c>
      <c r="H3" s="54"/>
      <c r="I3" s="54"/>
      <c r="J3" s="54"/>
      <c r="K3" s="54"/>
      <c r="L3" s="54"/>
      <c r="M3" s="54"/>
      <c r="N3" s="54"/>
      <c r="O3" s="60"/>
    </row>
    <row r="4" customHeight="1" spans="1:15">
      <c r="A4" s="31"/>
      <c r="B4" s="22" t="s">
        <v>166</v>
      </c>
      <c r="C4" s="53"/>
      <c r="D4" s="90">
        <v>4</v>
      </c>
      <c r="E4" s="32">
        <v>2500</v>
      </c>
      <c r="F4" s="91">
        <v>12</v>
      </c>
      <c r="G4" s="53">
        <f>SUM(F4*E4*D4)</f>
        <v>120000</v>
      </c>
      <c r="H4" s="53"/>
      <c r="I4" s="53"/>
      <c r="J4" s="53"/>
      <c r="K4" s="53"/>
      <c r="L4" s="53"/>
      <c r="M4" s="53"/>
      <c r="N4" s="53"/>
      <c r="O4" s="33"/>
    </row>
    <row r="5" customHeight="1" spans="1:15">
      <c r="A5" s="22"/>
      <c r="B5" s="22" t="s">
        <v>167</v>
      </c>
      <c r="C5" s="53"/>
      <c r="D5" s="90">
        <v>1</v>
      </c>
      <c r="E5" s="53">
        <v>2300</v>
      </c>
      <c r="F5" s="91">
        <v>12</v>
      </c>
      <c r="G5" s="53">
        <f>SUM(D5*E5)</f>
        <v>2300</v>
      </c>
      <c r="H5" s="53"/>
      <c r="I5" s="53"/>
      <c r="J5" s="53"/>
      <c r="K5" s="53"/>
      <c r="L5" s="53"/>
      <c r="M5" s="53"/>
      <c r="N5" s="53"/>
      <c r="O5" s="33"/>
    </row>
    <row r="6" customHeight="1" spans="1:15">
      <c r="A6" s="22"/>
      <c r="B6" s="22" t="s">
        <v>168</v>
      </c>
      <c r="C6" s="53"/>
      <c r="D6" s="90">
        <v>1</v>
      </c>
      <c r="E6" s="53">
        <v>1800</v>
      </c>
      <c r="F6" s="91">
        <v>12</v>
      </c>
      <c r="G6" s="53">
        <f>SUM(E6*D6)</f>
        <v>1800</v>
      </c>
      <c r="H6" s="53"/>
      <c r="I6" s="53"/>
      <c r="J6" s="53"/>
      <c r="K6" s="53"/>
      <c r="L6" s="53"/>
      <c r="M6" s="53"/>
      <c r="N6" s="53"/>
      <c r="O6" s="33"/>
    </row>
    <row r="7" customHeight="1" spans="1:15">
      <c r="A7" s="36"/>
      <c r="B7" s="35" t="s">
        <v>13</v>
      </c>
      <c r="C7" s="39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41">
        <f>SUM(G4+G5+G6)</f>
        <v>124100</v>
      </c>
    </row>
    <row r="8" customHeight="1" spans="1:15">
      <c r="A8" s="26" t="s">
        <v>169</v>
      </c>
      <c r="B8" s="27"/>
      <c r="C8" s="28"/>
      <c r="D8" s="29" t="s">
        <v>49</v>
      </c>
      <c r="E8" s="29" t="s">
        <v>40</v>
      </c>
      <c r="F8" s="29" t="s">
        <v>13</v>
      </c>
      <c r="G8" s="27"/>
      <c r="H8" s="27"/>
      <c r="I8" s="27"/>
      <c r="J8" s="27"/>
      <c r="K8" s="27"/>
      <c r="L8" s="27"/>
      <c r="M8" s="27"/>
      <c r="N8" s="27"/>
      <c r="O8" s="30"/>
    </row>
    <row r="9" customHeight="1" spans="1:15">
      <c r="A9" s="31"/>
      <c r="B9" s="22" t="s">
        <v>170</v>
      </c>
      <c r="C9" s="24"/>
      <c r="D9" s="24"/>
      <c r="E9" s="22"/>
      <c r="F9" s="33"/>
      <c r="G9" s="22"/>
      <c r="H9" s="22"/>
      <c r="I9" s="22"/>
      <c r="J9" s="22"/>
      <c r="K9" s="22"/>
      <c r="L9" s="22"/>
      <c r="M9" s="22"/>
      <c r="N9" s="22"/>
      <c r="O9" s="33">
        <f>F9*4</f>
        <v>0</v>
      </c>
    </row>
    <row r="10" customHeight="1" spans="1:15">
      <c r="A10" s="31"/>
      <c r="B10" s="22" t="s">
        <v>171</v>
      </c>
      <c r="C10" s="24"/>
      <c r="D10" s="25"/>
      <c r="E10" s="53"/>
      <c r="F10" s="33">
        <v>10000</v>
      </c>
      <c r="G10" s="92" t="s">
        <v>172</v>
      </c>
      <c r="H10" s="92"/>
      <c r="I10" s="92"/>
      <c r="J10" s="92"/>
      <c r="K10" s="22"/>
      <c r="L10" s="22"/>
      <c r="M10" s="22"/>
      <c r="N10" s="22"/>
      <c r="O10" s="33"/>
    </row>
    <row r="11" customHeight="1" spans="1:15">
      <c r="A11" s="35"/>
      <c r="B11" s="35" t="s">
        <v>13</v>
      </c>
      <c r="C11" s="37"/>
      <c r="D11" s="37"/>
      <c r="E11" s="36"/>
      <c r="F11" s="40"/>
      <c r="G11" s="36"/>
      <c r="H11" s="36"/>
      <c r="I11" s="36"/>
      <c r="J11" s="36"/>
      <c r="K11" s="36"/>
      <c r="L11" s="36"/>
      <c r="M11" s="36"/>
      <c r="N11" s="36"/>
      <c r="O11" s="41">
        <f>F10</f>
        <v>10000</v>
      </c>
    </row>
    <row r="12" customHeight="1" spans="1:15">
      <c r="A12" s="22"/>
      <c r="B12" s="22"/>
      <c r="C12" s="53"/>
      <c r="D12" s="32"/>
      <c r="E12" s="32"/>
      <c r="F12" s="53"/>
      <c r="G12" s="53"/>
      <c r="H12" s="53"/>
      <c r="I12" s="53"/>
      <c r="J12" s="53"/>
      <c r="K12" s="53"/>
      <c r="L12" s="53"/>
      <c r="M12" s="53"/>
      <c r="N12" s="53"/>
      <c r="O12" s="33"/>
    </row>
    <row r="13" customHeight="1" spans="1:15">
      <c r="A13" s="26" t="s">
        <v>56</v>
      </c>
      <c r="B13" s="26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30">
        <f>O7+O11</f>
        <v>134100</v>
      </c>
    </row>
    <row r="14" customHeight="1" spans="1:15">
      <c r="C14" s="53"/>
      <c r="D14" s="32"/>
      <c r="E14" s="32"/>
      <c r="F14" s="53"/>
      <c r="G14" s="53"/>
      <c r="H14" s="53"/>
      <c r="I14" s="53"/>
      <c r="J14" s="53"/>
      <c r="K14" s="53"/>
      <c r="L14" s="53"/>
      <c r="M14" s="53"/>
      <c r="N14" s="53"/>
      <c r="O14" s="55"/>
    </row>
    <row r="15" customHeight="1" spans="1:15">
      <c r="C15" s="53"/>
      <c r="D15" s="32"/>
      <c r="E15" s="32"/>
      <c r="F15" s="53"/>
      <c r="G15" s="53"/>
      <c r="H15" s="53"/>
      <c r="I15" s="53"/>
      <c r="J15" s="53"/>
      <c r="K15" s="53"/>
      <c r="L15" s="53"/>
      <c r="M15" s="53"/>
      <c r="N15" s="53"/>
      <c r="O15" s="55"/>
    </row>
    <row r="16" customHeight="1" spans="1:15">
      <c r="C16" s="53"/>
      <c r="D16" s="32"/>
      <c r="E16" s="32"/>
      <c r="F16" s="53"/>
      <c r="G16" s="53"/>
      <c r="H16" s="53"/>
      <c r="I16" s="53"/>
      <c r="J16" s="53"/>
      <c r="K16" s="53"/>
      <c r="L16" s="53"/>
      <c r="M16" s="53"/>
      <c r="N16" s="53"/>
      <c r="O16" s="55"/>
    </row>
    <row r="17" customHeight="1" spans="1:15">
      <c r="C17" s="53"/>
      <c r="D17" s="32"/>
      <c r="E17" s="32"/>
      <c r="F17" s="53"/>
      <c r="G17" s="53"/>
      <c r="H17" s="53"/>
      <c r="I17" s="53"/>
      <c r="J17" s="53"/>
      <c r="K17" s="53"/>
      <c r="L17" s="53"/>
      <c r="M17" s="53"/>
      <c r="N17" s="53"/>
      <c r="O17" s="55"/>
    </row>
    <row r="18" customHeight="1" spans="1:15">
      <c r="C18" s="53"/>
      <c r="D18" s="32"/>
      <c r="E18" s="32"/>
      <c r="F18" s="53"/>
      <c r="G18" s="53"/>
      <c r="H18" s="53"/>
      <c r="I18" s="53"/>
      <c r="J18" s="53"/>
      <c r="K18" s="53"/>
      <c r="L18" s="53"/>
      <c r="M18" s="53"/>
      <c r="N18" s="53"/>
      <c r="O18" s="55"/>
    </row>
    <row r="19" customHeight="1" spans="1:15">
      <c r="A19" s="57"/>
      <c r="F19" s="53"/>
      <c r="O19" s="56"/>
    </row>
    <row r="20" customHeight="1" spans="1:15">
      <c r="F20" s="53"/>
      <c r="G20" s="53"/>
      <c r="O20" s="56"/>
    </row>
    <row r="21" customHeight="1" spans="1:15">
      <c r="F21" s="53"/>
      <c r="G21" s="53"/>
      <c r="O21" s="56"/>
    </row>
    <row r="22" customHeight="1" spans="1:15">
      <c r="F22" s="53"/>
      <c r="G22" s="53"/>
      <c r="O22" s="56"/>
    </row>
    <row r="23" customHeight="1" spans="1:15">
      <c r="F23" s="53"/>
      <c r="G23" s="53"/>
      <c r="O23" s="56"/>
    </row>
    <row r="24" customHeight="1" spans="1:15">
      <c r="F24" s="53"/>
      <c r="G24" s="53"/>
      <c r="O24" s="56"/>
    </row>
    <row r="25" customHeight="1" spans="1:15">
      <c r="F25" s="53"/>
      <c r="G25" s="53"/>
      <c r="O25" s="56"/>
    </row>
    <row r="26" customHeight="1" spans="1:15">
      <c r="F26" s="53"/>
      <c r="G26" s="53"/>
      <c r="O26" s="56"/>
    </row>
    <row r="27" customHeight="1" spans="1:15">
      <c r="F27" s="53"/>
      <c r="G27" s="53"/>
      <c r="O27" s="56"/>
    </row>
    <row r="28" customHeight="1" spans="1:15">
      <c r="F28" s="53"/>
      <c r="G28" s="53"/>
      <c r="O28" s="56"/>
    </row>
    <row r="29" customHeight="1" spans="1:15">
      <c r="F29" s="53"/>
      <c r="G29" s="53"/>
      <c r="O29" s="56"/>
    </row>
    <row r="30" customHeight="1" spans="1:15">
      <c r="F30" s="53"/>
      <c r="G30" s="53"/>
      <c r="O30" s="56"/>
    </row>
    <row r="31" customHeight="1" spans="1:15">
      <c r="F31" s="53"/>
      <c r="G31" s="53"/>
      <c r="O31" s="56"/>
    </row>
    <row r="32" customHeight="1" spans="1:15">
      <c r="F32" s="53"/>
      <c r="G32" s="53"/>
      <c r="O32" s="56"/>
    </row>
    <row r="33" customHeight="1" spans="1:15">
      <c r="F33" s="53"/>
      <c r="G33" s="53"/>
      <c r="O33" s="56"/>
    </row>
    <row r="34" customHeight="1" spans="1:15">
      <c r="F34" s="53"/>
      <c r="G34" s="53"/>
      <c r="O34" s="56"/>
    </row>
    <row r="35" customHeight="1" spans="1:15">
      <c r="F35" s="53"/>
      <c r="G35" s="53"/>
      <c r="O35" s="56"/>
    </row>
    <row r="36" customHeight="1" spans="1:15">
      <c r="F36" s="53"/>
      <c r="G36" s="53"/>
      <c r="O36" s="56"/>
    </row>
    <row r="37" customHeight="1" spans="1:15">
      <c r="F37" s="53"/>
      <c r="G37" s="53"/>
      <c r="O37" s="56"/>
    </row>
    <row r="38" customHeight="1" spans="1:15">
      <c r="B38" s="57"/>
      <c r="F38" s="53"/>
      <c r="O38" s="56"/>
    </row>
    <row r="39" customHeight="1" spans="1:15">
      <c r="F39" s="53"/>
      <c r="O39" s="56"/>
    </row>
    <row r="40" customHeight="1" spans="1:15">
      <c r="A40" s="57"/>
      <c r="D40" s="1"/>
      <c r="E40" s="1"/>
      <c r="F40" s="53"/>
      <c r="O40" s="56"/>
    </row>
    <row r="41" customHeight="1" spans="1:15">
      <c r="F41" s="53"/>
      <c r="G41" s="55"/>
      <c r="H41" s="55"/>
      <c r="O41" s="56"/>
    </row>
    <row r="42" customHeight="1" spans="1:15">
      <c r="E42" s="53"/>
      <c r="F42" s="53"/>
      <c r="G42" s="55"/>
      <c r="H42" s="55"/>
      <c r="O42" s="56"/>
    </row>
    <row r="43" customHeight="1" spans="1:15">
      <c r="E43" s="53"/>
      <c r="F43" s="53"/>
      <c r="G43" s="55"/>
      <c r="H43" s="55"/>
      <c r="O43" s="56"/>
    </row>
    <row r="44" customHeight="1" spans="1:15">
      <c r="E44" s="53"/>
      <c r="F44" s="53"/>
      <c r="G44" s="55"/>
      <c r="H44" s="55"/>
      <c r="O44" s="56"/>
    </row>
    <row r="45" customHeight="1" spans="1:15">
      <c r="B45" s="57"/>
      <c r="F45" s="53"/>
      <c r="O45" s="56"/>
    </row>
    <row r="46" customHeight="1" spans="1:15">
      <c r="F46" s="53"/>
      <c r="G46" s="55"/>
      <c r="H46" s="55"/>
      <c r="O46" s="56"/>
    </row>
    <row r="47" customHeight="1" spans="1:15">
      <c r="A47" s="57"/>
      <c r="F47" s="53"/>
      <c r="G47" s="58"/>
      <c r="H47" s="58"/>
      <c r="O47" s="56"/>
    </row>
    <row r="48" customHeight="1" spans="1:15">
      <c r="F48" s="53"/>
      <c r="G48" s="55"/>
      <c r="H48" s="55"/>
      <c r="O48" s="56"/>
    </row>
    <row r="49" customHeight="1" spans="1:15">
      <c r="F49" s="53"/>
      <c r="G49" s="55"/>
      <c r="H49" s="55"/>
      <c r="O49" s="56"/>
    </row>
    <row r="50" customHeight="1" spans="1:15">
      <c r="F50" s="53"/>
      <c r="G50" s="55"/>
      <c r="H50" s="55"/>
      <c r="O50" s="56"/>
    </row>
    <row r="51" customHeight="1" spans="1:15">
      <c r="F51" s="53"/>
      <c r="G51" s="55"/>
      <c r="H51" s="55"/>
      <c r="O51" s="56"/>
    </row>
    <row r="52" customHeight="1" spans="1:15">
      <c r="F52" s="53"/>
      <c r="G52" s="55"/>
      <c r="H52" s="55"/>
      <c r="O52" s="56"/>
    </row>
    <row r="53" customHeight="1" spans="1:15">
      <c r="F53" s="53"/>
      <c r="G53" s="55"/>
      <c r="H53" s="55"/>
      <c r="O53" s="56"/>
    </row>
    <row r="54" customHeight="1" spans="1:15">
      <c r="F54" s="53"/>
      <c r="G54" s="55"/>
      <c r="H54" s="55"/>
      <c r="O54" s="56"/>
    </row>
    <row r="55" customHeight="1" spans="1:15">
      <c r="F55" s="53"/>
      <c r="G55" s="55"/>
      <c r="H55" s="55"/>
      <c r="O55" s="56"/>
    </row>
    <row r="56" customHeight="1" spans="1:15">
      <c r="B56" s="57"/>
      <c r="F56" s="53"/>
      <c r="G56" s="55"/>
      <c r="H56" s="55"/>
      <c r="O56" s="56"/>
    </row>
    <row r="57" customHeight="1" spans="1:15">
      <c r="F57" s="53"/>
      <c r="G57" s="55"/>
      <c r="H57" s="55"/>
      <c r="O57" s="56"/>
    </row>
    <row r="58" customHeight="1" spans="1:15">
      <c r="A58" s="57"/>
      <c r="F58" s="58"/>
      <c r="G58" s="58"/>
      <c r="O58" s="56"/>
    </row>
    <row r="59" customHeight="1" spans="1:15">
      <c r="G59" s="55"/>
      <c r="I59" s="55"/>
      <c r="O59" s="56"/>
    </row>
    <row r="60" customHeight="1" spans="1:15">
      <c r="G60" s="55"/>
      <c r="I60" s="55"/>
      <c r="O60" s="56"/>
    </row>
    <row r="61" customHeight="1" spans="1:15">
      <c r="G61" s="55"/>
      <c r="I61" s="55"/>
      <c r="O61" s="56"/>
    </row>
    <row r="62" customHeight="1" spans="1:15">
      <c r="G62" s="55"/>
      <c r="I62" s="55"/>
      <c r="O62" s="56"/>
    </row>
    <row r="63" customHeight="1" spans="1:15">
      <c r="G63" s="55"/>
      <c r="I63" s="55"/>
      <c r="O63" s="56"/>
    </row>
    <row r="64" customHeight="1" spans="1:15">
      <c r="G64" s="55"/>
      <c r="I64" s="55"/>
      <c r="O64" s="56"/>
    </row>
    <row r="65" customHeight="1" spans="1:15">
      <c r="G65" s="55"/>
      <c r="I65" s="55"/>
      <c r="O65" s="56"/>
    </row>
    <row r="66" customHeight="1" spans="1:15">
      <c r="B66" s="57"/>
      <c r="F66" s="53"/>
      <c r="G66" s="55"/>
      <c r="H66" s="55"/>
      <c r="O66" s="56"/>
    </row>
    <row r="67" customHeight="1" spans="1:15">
      <c r="F67" s="53"/>
      <c r="G67" s="55"/>
      <c r="H67" s="55"/>
      <c r="O67" s="56"/>
    </row>
    <row r="68" customHeight="1" spans="1:15">
      <c r="A68" s="57"/>
      <c r="F68" s="53"/>
      <c r="G68" s="55"/>
      <c r="H68" s="55"/>
      <c r="O68" s="56"/>
    </row>
    <row r="69" customHeight="1" spans="1:15">
      <c r="F69" s="53"/>
      <c r="G69" s="55"/>
      <c r="H69" s="55"/>
      <c r="O69" s="56"/>
    </row>
    <row r="70" customHeight="1" spans="1:15">
      <c r="F70" s="53"/>
      <c r="G70" s="55"/>
      <c r="H70" s="55"/>
      <c r="O70" s="56"/>
    </row>
    <row r="71" customHeight="1" spans="1:15">
      <c r="F71" s="53"/>
      <c r="G71" s="55"/>
      <c r="H71" s="55"/>
      <c r="O71" s="56"/>
    </row>
    <row r="72" customHeight="1" spans="1:15">
      <c r="F72" s="53"/>
      <c r="G72" s="55"/>
      <c r="H72" s="55"/>
      <c r="O72" s="56"/>
    </row>
    <row r="73" customHeight="1" spans="1:15">
      <c r="F73" s="53"/>
      <c r="G73" s="55"/>
      <c r="H73" s="55"/>
      <c r="O73" s="56"/>
    </row>
    <row r="74" customHeight="1" spans="1:15">
      <c r="F74" s="53"/>
      <c r="G74" s="55"/>
      <c r="H74" s="55"/>
      <c r="O74" s="56"/>
    </row>
    <row r="75" customHeight="1" spans="1:15">
      <c r="B75" s="57"/>
      <c r="F75" s="53"/>
      <c r="G75" s="55"/>
      <c r="H75" s="55"/>
      <c r="O75" s="56"/>
    </row>
    <row r="76" customHeight="1" spans="1:15">
      <c r="F76" s="53"/>
      <c r="G76" s="55"/>
      <c r="H76" s="55"/>
      <c r="O76" s="56"/>
    </row>
    <row r="77" customHeight="1" spans="1:15">
      <c r="A77" s="57"/>
      <c r="F77" s="53"/>
      <c r="G77" s="55"/>
      <c r="H77" s="55"/>
      <c r="O77" s="56"/>
    </row>
    <row r="78" customHeight="1" spans="1:15">
      <c r="F78" s="53"/>
      <c r="G78" s="55"/>
      <c r="H78" s="55"/>
      <c r="O78" s="56"/>
    </row>
    <row r="79" customHeight="1" spans="1:15">
      <c r="F79" s="53"/>
      <c r="G79" s="55"/>
      <c r="H79" s="55"/>
      <c r="O79" s="56"/>
    </row>
    <row r="80" customHeight="1" spans="1:15">
      <c r="B80" s="57"/>
      <c r="F80" s="53"/>
      <c r="G80" s="55"/>
      <c r="H80" s="55"/>
      <c r="O80" s="56"/>
    </row>
    <row r="81" customHeight="1" spans="6:15">
      <c r="F81" s="53"/>
      <c r="G81" s="55"/>
      <c r="H81" s="55"/>
      <c r="O81" s="56"/>
    </row>
    <row r="82" customHeight="1" spans="6:15">
      <c r="F82" s="53"/>
      <c r="G82" s="55"/>
      <c r="H82" s="55"/>
      <c r="O82" s="56"/>
    </row>
    <row r="83" customHeight="1" spans="6:15">
      <c r="F83" s="53"/>
      <c r="G83" s="55"/>
      <c r="H83" s="55"/>
      <c r="O83" s="56"/>
    </row>
    <row r="84" customHeight="1" spans="6:15">
      <c r="F84" s="53"/>
      <c r="G84" s="55"/>
      <c r="H84" s="55"/>
      <c r="O84" s="56"/>
    </row>
    <row r="85" customHeight="1" spans="6:15">
      <c r="F85" s="53"/>
      <c r="G85" s="55"/>
      <c r="H85" s="55"/>
      <c r="O85" s="56"/>
    </row>
    <row r="86" customHeight="1" spans="6:15">
      <c r="F86" s="53"/>
      <c r="G86" s="55"/>
      <c r="H86" s="55"/>
      <c r="O86" s="56"/>
    </row>
    <row r="87" customHeight="1" spans="6:15">
      <c r="F87" s="53"/>
      <c r="G87" s="55"/>
      <c r="H87" s="55"/>
      <c r="O87" s="56"/>
    </row>
    <row r="88" customHeight="1" spans="6:15">
      <c r="F88" s="53"/>
      <c r="G88" s="55"/>
      <c r="H88" s="55"/>
      <c r="O88" s="56"/>
    </row>
    <row r="89" customHeight="1" spans="6:15">
      <c r="F89" s="53"/>
      <c r="G89" s="55"/>
      <c r="H89" s="55"/>
      <c r="O89" s="56"/>
    </row>
    <row r="90" customHeight="1" spans="6:15">
      <c r="F90" s="53"/>
      <c r="G90" s="55"/>
      <c r="H90" s="55"/>
      <c r="O90" s="56"/>
    </row>
    <row r="91" customHeight="1" spans="6:15">
      <c r="F91" s="53"/>
      <c r="G91" s="55"/>
      <c r="H91" s="55"/>
      <c r="O91" s="56"/>
    </row>
    <row r="92" customHeight="1" spans="6:15">
      <c r="F92" s="53"/>
      <c r="G92" s="55"/>
      <c r="H92" s="55"/>
      <c r="O92" s="56"/>
    </row>
    <row r="93" customHeight="1" spans="6:15">
      <c r="F93" s="53"/>
      <c r="G93" s="55"/>
      <c r="H93" s="55"/>
      <c r="O93" s="56"/>
    </row>
  </sheetData>
  <mergeCells count="3">
    <mergeCell ref="A1:O1"/>
    <mergeCell ref="G2:H2"/>
    <mergeCell ref="G10:J10"/>
  </mergeCells>
  <printOptions horizontalCentered="1"/>
  <pageMargins left="0.16" right="0.16" top="0.98" bottom="0.98" header="0.51" footer="0.51"/>
  <pageSetup paperSize="9" scale="70" orientation="landscape"/>
  <headerFooter alignWithMargins="0"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zoomScale="75" zoomScaleNormal="75" workbookViewId="0">
      <selection activeCell="T15" sqref="T15"/>
    </sheetView>
  </sheetViews>
  <sheetFormatPr defaultColWidth="9" defaultRowHeight="14.25"/>
  <cols>
    <col min="3" max="4" width="13.25" customWidth="1"/>
    <col min="5" max="5" width="12.375" customWidth="1"/>
    <col min="6" max="6" width="13.25" customWidth="1"/>
    <col min="7" max="14" width="11.1666666666667" customWidth="1"/>
    <col min="15" max="15" width="17.875" customWidth="1"/>
  </cols>
  <sheetData>
    <row r="1" ht="25.5" spans="1:19">
      <c r="A1" s="21" t="s">
        <v>173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ht="22.5" customHeight="1" spans="1:19">
      <c r="A2" s="62" t="s">
        <v>36</v>
      </c>
      <c r="B2" s="62"/>
      <c r="C2" s="62"/>
      <c r="D2" s="62"/>
      <c r="E2" s="1"/>
      <c r="F2" s="1"/>
      <c r="G2" s="1"/>
      <c r="H2" s="1"/>
    </row>
    <row r="3" ht="22.5" customHeight="1" spans="1:19">
      <c r="A3" s="26" t="s">
        <v>174</v>
      </c>
      <c r="B3" s="27"/>
      <c r="C3" s="28"/>
      <c r="D3" s="29" t="s">
        <v>62</v>
      </c>
      <c r="E3" s="29" t="s">
        <v>40</v>
      </c>
      <c r="F3" s="29" t="s">
        <v>165</v>
      </c>
      <c r="G3" s="29" t="s">
        <v>13</v>
      </c>
      <c r="H3" s="27"/>
      <c r="I3" s="27"/>
      <c r="J3" s="27"/>
      <c r="K3" s="27"/>
      <c r="L3" s="27"/>
      <c r="M3" s="27"/>
      <c r="N3" s="27"/>
      <c r="O3" s="30"/>
      <c r="P3" s="22"/>
      <c r="Q3" s="22"/>
      <c r="R3" s="22"/>
      <c r="S3" s="22"/>
    </row>
    <row r="4" ht="22.5" customHeight="1" spans="1:19">
      <c r="A4" s="31"/>
      <c r="B4" s="22" t="s">
        <v>175</v>
      </c>
      <c r="C4" s="24"/>
      <c r="D4" s="24">
        <v>20</v>
      </c>
      <c r="E4" s="53">
        <v>2800</v>
      </c>
      <c r="F4" s="22">
        <v>12</v>
      </c>
      <c r="G4" s="33"/>
      <c r="H4" s="22"/>
      <c r="I4" s="22"/>
      <c r="J4" s="22"/>
      <c r="K4" s="22"/>
      <c r="L4" s="22"/>
      <c r="M4" s="22"/>
      <c r="N4" s="22"/>
      <c r="O4" s="33">
        <f>F4*E4*D4</f>
        <v>672000</v>
      </c>
      <c r="P4" s="22"/>
      <c r="Q4" s="22"/>
      <c r="R4" s="22"/>
      <c r="S4" s="22"/>
    </row>
    <row r="5" ht="22.5" customHeight="1" spans="1:19">
      <c r="A5" s="31"/>
      <c r="B5" s="22" t="s">
        <v>176</v>
      </c>
      <c r="C5" s="24"/>
      <c r="D5" s="24"/>
      <c r="E5" s="53"/>
      <c r="F5" s="22"/>
      <c r="G5" s="33"/>
      <c r="H5" s="22"/>
      <c r="I5" s="22"/>
      <c r="J5" s="22"/>
      <c r="K5" s="22"/>
      <c r="L5" s="22"/>
      <c r="M5" s="22"/>
      <c r="N5" s="22"/>
      <c r="O5" s="34"/>
      <c r="P5" s="22"/>
      <c r="Q5" s="22"/>
      <c r="R5" s="22"/>
      <c r="S5" s="22"/>
    </row>
    <row r="6" ht="22.5" customHeight="1" spans="1:19">
      <c r="A6" s="35"/>
      <c r="B6" s="35" t="s">
        <v>13</v>
      </c>
      <c r="C6" s="37"/>
      <c r="D6" s="37"/>
      <c r="E6" s="36"/>
      <c r="F6" s="36"/>
      <c r="G6" s="40"/>
      <c r="H6" s="36"/>
      <c r="I6" s="36"/>
      <c r="J6" s="36"/>
      <c r="K6" s="36"/>
      <c r="L6" s="36"/>
      <c r="M6" s="36"/>
      <c r="N6" s="36"/>
      <c r="O6" s="41">
        <f>SUM(O4:O5)</f>
        <v>672000</v>
      </c>
      <c r="P6" s="22"/>
      <c r="Q6" s="22"/>
      <c r="R6" s="22"/>
      <c r="S6" s="22"/>
    </row>
    <row r="7" ht="22.5" customHeight="1" spans="1:19">
      <c r="A7" s="31" t="s">
        <v>177</v>
      </c>
      <c r="B7" s="22"/>
      <c r="C7" s="53"/>
      <c r="D7" s="32"/>
      <c r="E7" s="32"/>
      <c r="F7" s="53"/>
      <c r="G7" s="53"/>
      <c r="H7" s="53"/>
      <c r="I7" s="53"/>
      <c r="J7" s="53"/>
      <c r="K7" s="53"/>
      <c r="L7" s="53"/>
      <c r="M7" s="53"/>
      <c r="N7" s="53"/>
      <c r="O7" s="33"/>
      <c r="P7" s="22"/>
      <c r="Q7" s="22"/>
      <c r="R7" s="22"/>
      <c r="S7" s="22"/>
    </row>
    <row r="8" ht="22.5" customHeight="1" spans="1:19">
      <c r="A8" s="22"/>
      <c r="B8" s="22" t="s">
        <v>178</v>
      </c>
      <c r="C8" s="53"/>
      <c r="D8" s="32"/>
      <c r="E8" s="32" t="s">
        <v>49</v>
      </c>
      <c r="F8" s="32" t="s">
        <v>40</v>
      </c>
      <c r="G8" s="32"/>
      <c r="H8" s="53"/>
      <c r="I8" s="53"/>
      <c r="J8" s="53"/>
      <c r="K8" s="53"/>
      <c r="L8" s="53"/>
      <c r="M8" s="53"/>
      <c r="N8" s="53"/>
      <c r="O8" s="33"/>
      <c r="P8" s="22"/>
      <c r="Q8" s="22"/>
      <c r="R8" s="22"/>
      <c r="S8" s="22"/>
    </row>
    <row r="9" ht="22.5" customHeight="1" spans="1:19">
      <c r="A9" s="22"/>
      <c r="B9" s="22"/>
      <c r="C9" s="53" t="s">
        <v>179</v>
      </c>
      <c r="D9" s="32"/>
      <c r="E9" s="24">
        <v>20</v>
      </c>
      <c r="F9" s="88">
        <v>600</v>
      </c>
      <c r="G9" s="53"/>
      <c r="H9" s="53"/>
      <c r="I9" s="53"/>
      <c r="J9" s="53"/>
      <c r="K9" s="53"/>
      <c r="L9" s="53"/>
      <c r="M9" s="53"/>
      <c r="N9" s="53"/>
      <c r="O9" s="53">
        <f>E9*F9</f>
        <v>12000</v>
      </c>
      <c r="P9" s="22"/>
      <c r="Q9" s="22"/>
      <c r="R9" s="22"/>
      <c r="S9" s="22"/>
    </row>
    <row r="10" ht="22.5" customHeight="1" spans="1:19">
      <c r="A10" s="22"/>
      <c r="B10" s="22"/>
      <c r="C10" s="53" t="s">
        <v>180</v>
      </c>
      <c r="D10" s="32"/>
      <c r="E10" s="32"/>
      <c r="F10" s="88">
        <v>1000</v>
      </c>
      <c r="G10" s="53"/>
      <c r="H10" s="53"/>
      <c r="I10" s="53"/>
      <c r="J10" s="53"/>
      <c r="K10" s="53"/>
      <c r="L10" s="53"/>
      <c r="M10" s="53"/>
      <c r="N10" s="53"/>
      <c r="O10" s="53">
        <f>F10</f>
        <v>1000</v>
      </c>
      <c r="P10" s="22"/>
      <c r="Q10" s="22"/>
      <c r="R10" s="22"/>
      <c r="S10" s="22"/>
    </row>
    <row r="11" ht="22.5" customHeight="1" spans="1:19">
      <c r="A11" s="22"/>
      <c r="B11" s="22" t="s">
        <v>181</v>
      </c>
      <c r="C11" s="53"/>
      <c r="D11" s="32"/>
      <c r="E11" s="22"/>
      <c r="F11" s="33">
        <v>3000</v>
      </c>
      <c r="G11" s="32"/>
      <c r="H11" s="53" t="s">
        <v>182</v>
      </c>
      <c r="I11" s="53"/>
      <c r="J11" s="53"/>
      <c r="K11" s="53"/>
      <c r="L11" s="53"/>
      <c r="M11" s="53"/>
      <c r="N11" s="53"/>
      <c r="O11" s="53">
        <f>F11</f>
        <v>3000</v>
      </c>
      <c r="P11" s="22"/>
      <c r="Q11" s="22"/>
      <c r="R11" s="22"/>
      <c r="S11" s="22"/>
    </row>
    <row r="12" ht="22.5" customHeight="1" spans="1:19">
      <c r="A12" s="36"/>
      <c r="B12" s="35" t="s">
        <v>13</v>
      </c>
      <c r="C12" s="39"/>
      <c r="D12" s="38"/>
      <c r="E12" s="38"/>
      <c r="F12" s="39"/>
      <c r="G12" s="39"/>
      <c r="H12" s="39"/>
      <c r="I12" s="39"/>
      <c r="J12" s="39"/>
      <c r="K12" s="39"/>
      <c r="L12" s="39"/>
      <c r="M12" s="39"/>
      <c r="N12" s="39"/>
      <c r="O12" s="41">
        <f>SUM(O9:O11)</f>
        <v>16000</v>
      </c>
      <c r="P12" s="22"/>
      <c r="Q12" s="22"/>
      <c r="R12" s="22"/>
      <c r="S12" s="22"/>
    </row>
    <row r="13" ht="22.5" customHeight="1" spans="1:19">
      <c r="A13" s="22"/>
      <c r="B13" s="22"/>
      <c r="C13" s="53"/>
      <c r="D13" s="32"/>
      <c r="E13" s="32"/>
      <c r="F13" s="53"/>
      <c r="G13" s="53"/>
      <c r="H13" s="53"/>
      <c r="I13" s="53"/>
      <c r="J13" s="53"/>
      <c r="K13" s="53"/>
      <c r="L13" s="53"/>
      <c r="M13" s="53"/>
      <c r="N13" s="53"/>
      <c r="O13" s="33"/>
      <c r="P13" s="22"/>
      <c r="Q13" s="22"/>
      <c r="R13" s="22"/>
      <c r="S13" s="22"/>
    </row>
    <row r="14" ht="22.5" customHeight="1" spans="1:19">
      <c r="A14" s="26" t="s">
        <v>56</v>
      </c>
      <c r="B14" s="26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30">
        <f>SUM(O12+O6)</f>
        <v>688000</v>
      </c>
      <c r="P14" s="22"/>
      <c r="Q14" s="22"/>
      <c r="R14" s="22"/>
      <c r="S14" s="22"/>
    </row>
    <row r="15" ht="22.5" customHeight="1" spans="1:19">
      <c r="A15" s="22"/>
      <c r="B15" s="22"/>
      <c r="C15" s="53"/>
      <c r="D15" s="32"/>
      <c r="E15" s="32"/>
      <c r="F15" s="53"/>
      <c r="G15" s="53"/>
      <c r="H15" s="53"/>
      <c r="I15" s="53"/>
      <c r="J15" s="53"/>
      <c r="K15" s="53"/>
      <c r="L15" s="53"/>
      <c r="M15" s="53"/>
      <c r="N15" s="53"/>
      <c r="O15" s="33"/>
      <c r="P15" s="22"/>
      <c r="Q15" s="22"/>
      <c r="R15" s="22"/>
      <c r="S15" s="22"/>
    </row>
    <row r="16" ht="22.5" customHeight="1" spans="1:19">
      <c r="A16" s="22" t="s">
        <v>183</v>
      </c>
      <c r="B16" s="22"/>
      <c r="C16" s="53"/>
      <c r="D16" s="32"/>
      <c r="E16" s="32"/>
      <c r="F16" s="53"/>
      <c r="G16" s="53"/>
      <c r="H16" s="53"/>
      <c r="I16" s="53"/>
      <c r="J16" s="53"/>
      <c r="K16" s="53"/>
      <c r="L16" s="53"/>
      <c r="M16" s="53"/>
      <c r="N16" s="53"/>
      <c r="O16" s="33"/>
      <c r="P16" s="22"/>
      <c r="Q16" s="22"/>
      <c r="R16" s="22"/>
      <c r="S16" s="22"/>
    </row>
    <row r="17" ht="22.5" customHeight="1" spans="1:19">
      <c r="A17" s="22"/>
      <c r="B17" s="22"/>
      <c r="C17" s="53"/>
      <c r="D17" s="32"/>
      <c r="E17" s="32"/>
      <c r="F17" s="53"/>
      <c r="G17" s="53"/>
      <c r="H17" s="53"/>
      <c r="I17" s="53"/>
      <c r="J17" s="53"/>
      <c r="K17" s="53"/>
      <c r="L17" s="53"/>
      <c r="M17" s="53"/>
      <c r="N17" s="53"/>
      <c r="O17" s="33"/>
      <c r="P17" s="22"/>
      <c r="Q17" s="22"/>
      <c r="R17" s="22"/>
      <c r="S17" s="22"/>
    </row>
    <row r="18" ht="22.5" customHeight="1" spans="1:19">
      <c r="A18" s="22"/>
      <c r="B18" s="22"/>
      <c r="C18" s="53"/>
      <c r="D18" s="32"/>
      <c r="E18" s="32"/>
      <c r="F18" s="53"/>
      <c r="G18" s="53"/>
      <c r="H18" s="53"/>
      <c r="I18" s="53"/>
      <c r="J18" s="53"/>
      <c r="K18" s="53"/>
      <c r="L18" s="53"/>
      <c r="M18" s="53"/>
      <c r="N18" s="53"/>
      <c r="O18" s="33"/>
      <c r="P18" s="22"/>
      <c r="Q18" s="22"/>
      <c r="R18" s="22"/>
      <c r="S18" s="22"/>
    </row>
    <row r="19" ht="22.5" customHeight="1" spans="1:19">
      <c r="C19" s="53"/>
      <c r="D19" s="32"/>
      <c r="E19" s="32"/>
      <c r="F19" s="53"/>
      <c r="G19" s="53"/>
      <c r="H19" s="53"/>
      <c r="I19" s="53"/>
      <c r="J19" s="53"/>
      <c r="K19" s="53"/>
      <c r="L19" s="53"/>
      <c r="M19" s="53"/>
      <c r="N19" s="53"/>
      <c r="O19" s="55"/>
    </row>
    <row r="20" ht="22.5" customHeight="1" spans="1:19">
      <c r="C20" s="53"/>
      <c r="D20" s="32"/>
      <c r="E20" s="32"/>
      <c r="F20" s="53"/>
      <c r="G20" s="53"/>
      <c r="H20" s="53"/>
      <c r="I20" s="53"/>
      <c r="J20" s="53"/>
      <c r="K20" s="53"/>
      <c r="L20" s="53"/>
      <c r="M20" s="53"/>
      <c r="N20" s="53"/>
      <c r="O20" s="55"/>
    </row>
    <row r="21" ht="22.5" customHeight="1" spans="1:19">
      <c r="C21" s="53"/>
      <c r="D21" s="32"/>
      <c r="E21" s="32"/>
      <c r="F21" s="53"/>
      <c r="G21" s="53"/>
      <c r="H21" s="53"/>
      <c r="I21" s="53"/>
      <c r="J21" s="53"/>
      <c r="K21" s="53"/>
      <c r="L21" s="53"/>
      <c r="M21" s="53"/>
      <c r="N21" s="53"/>
      <c r="O21" s="55"/>
    </row>
    <row r="22" ht="22.5" customHeight="1" spans="1:19">
      <c r="C22" s="53"/>
      <c r="D22" s="32"/>
      <c r="E22" s="32"/>
      <c r="F22" s="53"/>
      <c r="G22" s="53"/>
      <c r="H22" s="53"/>
      <c r="I22" s="53"/>
      <c r="J22" s="53"/>
      <c r="K22" s="53"/>
      <c r="L22" s="53"/>
      <c r="M22" s="53"/>
      <c r="N22" s="53"/>
      <c r="O22" s="55"/>
    </row>
    <row r="23" ht="22.5" customHeight="1" spans="1:19">
      <c r="C23" s="53"/>
      <c r="D23" s="32"/>
      <c r="E23" s="32"/>
      <c r="F23" s="53"/>
      <c r="G23" s="53"/>
      <c r="H23" s="53"/>
      <c r="I23" s="53"/>
      <c r="J23" s="53"/>
      <c r="K23" s="53"/>
      <c r="L23" s="53"/>
      <c r="M23" s="53"/>
      <c r="N23" s="53"/>
      <c r="O23" s="55"/>
    </row>
    <row r="24" ht="22.5" customHeight="1" spans="1:19">
      <c r="C24" s="53"/>
      <c r="D24" s="32"/>
      <c r="E24" s="32"/>
      <c r="F24" s="53"/>
      <c r="G24" s="53"/>
      <c r="H24" s="53"/>
      <c r="I24" s="53"/>
      <c r="J24" s="53"/>
      <c r="K24" s="53"/>
      <c r="L24" s="53"/>
      <c r="M24" s="53"/>
      <c r="N24" s="53"/>
      <c r="O24" s="55"/>
    </row>
    <row r="25" ht="22.5" customHeight="1" spans="1:19">
      <c r="C25" s="53"/>
      <c r="D25" s="32"/>
      <c r="E25" s="32"/>
      <c r="F25" s="53"/>
      <c r="G25" s="53"/>
      <c r="H25" s="53"/>
      <c r="I25" s="53"/>
      <c r="J25" s="53"/>
      <c r="K25" s="53"/>
      <c r="L25" s="53"/>
      <c r="M25" s="53"/>
      <c r="N25" s="53"/>
      <c r="O25" s="55"/>
    </row>
    <row r="26" ht="22.5" customHeight="1" spans="1:19">
      <c r="C26" s="53"/>
      <c r="D26" s="32"/>
      <c r="E26" s="32"/>
      <c r="F26" s="53"/>
      <c r="G26" s="53"/>
      <c r="H26" s="53"/>
      <c r="I26" s="53"/>
      <c r="J26" s="53"/>
      <c r="K26" s="53"/>
      <c r="L26" s="53"/>
      <c r="M26" s="53"/>
      <c r="N26" s="53"/>
      <c r="O26" s="55"/>
    </row>
    <row r="27" ht="22.5" customHeight="1" spans="1:19">
      <c r="C27" s="53"/>
      <c r="D27" s="32"/>
      <c r="E27" s="32"/>
      <c r="F27" s="53"/>
      <c r="G27" s="53"/>
      <c r="H27" s="53"/>
      <c r="I27" s="53"/>
      <c r="J27" s="53"/>
      <c r="K27" s="53"/>
      <c r="L27" s="53"/>
      <c r="M27" s="53"/>
      <c r="N27" s="53"/>
      <c r="O27" s="55"/>
    </row>
    <row r="28" ht="22.5" customHeight="1" spans="1:19">
      <c r="C28" s="53"/>
      <c r="D28" s="32"/>
      <c r="E28" s="32"/>
      <c r="F28" s="53"/>
      <c r="G28" s="53"/>
      <c r="H28" s="53"/>
      <c r="I28" s="53"/>
      <c r="J28" s="53"/>
      <c r="K28" s="53"/>
      <c r="L28" s="53"/>
      <c r="M28" s="53"/>
      <c r="N28" s="53"/>
      <c r="O28" s="55"/>
    </row>
    <row r="29" ht="22.5" customHeight="1" spans="1:19">
      <c r="C29" s="53"/>
      <c r="D29" s="32"/>
      <c r="E29" s="32"/>
      <c r="F29" s="53"/>
      <c r="G29" s="53"/>
      <c r="H29" s="53"/>
      <c r="I29" s="53"/>
      <c r="J29" s="53"/>
      <c r="K29" s="53"/>
      <c r="L29" s="53"/>
      <c r="M29" s="53"/>
      <c r="N29" s="53"/>
      <c r="O29" s="55"/>
    </row>
    <row r="30" ht="22.5" customHeight="1" spans="1:19">
      <c r="C30" s="53"/>
      <c r="D30" s="32"/>
      <c r="E30" s="32"/>
      <c r="F30" s="53"/>
      <c r="G30" s="53"/>
      <c r="H30" s="53"/>
      <c r="I30" s="53"/>
      <c r="J30" s="53"/>
      <c r="K30" s="53"/>
      <c r="L30" s="53"/>
      <c r="M30" s="53"/>
      <c r="N30" s="53"/>
      <c r="O30" s="55"/>
    </row>
    <row r="31" ht="22.5" customHeight="1" spans="1:19">
      <c r="C31" s="53"/>
      <c r="D31" s="32"/>
      <c r="E31" s="32"/>
      <c r="F31" s="53"/>
      <c r="G31" s="53"/>
      <c r="H31" s="53"/>
      <c r="I31" s="53"/>
      <c r="J31" s="53"/>
      <c r="K31" s="53"/>
      <c r="L31" s="53"/>
      <c r="M31" s="53"/>
      <c r="N31" s="53"/>
      <c r="O31" s="55"/>
    </row>
    <row r="32" ht="22.5" customHeight="1" spans="1:19">
      <c r="C32" s="53"/>
      <c r="D32" s="32"/>
      <c r="E32" s="32"/>
      <c r="F32" s="53"/>
      <c r="G32" s="53"/>
      <c r="H32" s="53"/>
      <c r="I32" s="53"/>
      <c r="J32" s="53"/>
      <c r="K32" s="53"/>
      <c r="L32" s="53"/>
      <c r="M32" s="53"/>
      <c r="N32" s="53"/>
      <c r="O32" s="55"/>
    </row>
    <row r="33" spans="1:15">
      <c r="F33" s="53"/>
      <c r="O33" s="56"/>
    </row>
    <row r="34" spans="1:15">
      <c r="A34" s="57"/>
      <c r="D34" s="1"/>
      <c r="E34" s="1"/>
      <c r="F34" s="53"/>
      <c r="O34" s="56"/>
    </row>
    <row r="35" spans="1:15">
      <c r="F35" s="53"/>
      <c r="G35" s="55"/>
      <c r="H35" s="55"/>
      <c r="O35" s="56"/>
    </row>
    <row r="36" spans="1:15">
      <c r="E36" s="53"/>
      <c r="F36" s="53"/>
      <c r="G36" s="55"/>
      <c r="H36" s="55"/>
      <c r="O36" s="56"/>
    </row>
    <row r="37" spans="1:15">
      <c r="E37" s="53"/>
      <c r="F37" s="53"/>
      <c r="G37" s="55"/>
      <c r="H37" s="55"/>
      <c r="O37" s="56"/>
    </row>
    <row r="38" spans="1:15">
      <c r="E38" s="53"/>
      <c r="F38" s="53"/>
      <c r="G38" s="55"/>
      <c r="H38" s="55"/>
      <c r="O38" s="56"/>
    </row>
    <row r="39" spans="1:15">
      <c r="B39" s="57"/>
      <c r="F39" s="53"/>
      <c r="O39" s="56"/>
    </row>
    <row r="40" spans="1:15">
      <c r="F40" s="53"/>
      <c r="G40" s="55"/>
      <c r="H40" s="55"/>
      <c r="O40" s="56"/>
    </row>
    <row r="41" spans="1:15">
      <c r="A41" s="57"/>
      <c r="F41" s="53"/>
      <c r="G41" s="58"/>
      <c r="H41" s="58"/>
      <c r="O41" s="56"/>
    </row>
    <row r="42" spans="1:15">
      <c r="F42" s="53"/>
      <c r="G42" s="55"/>
      <c r="H42" s="55"/>
      <c r="O42" s="56"/>
    </row>
    <row r="43" spans="1:15">
      <c r="F43" s="53"/>
      <c r="G43" s="55"/>
      <c r="H43" s="55"/>
      <c r="O43" s="56"/>
    </row>
    <row r="44" spans="1:15">
      <c r="F44" s="53"/>
      <c r="G44" s="55"/>
      <c r="H44" s="55"/>
      <c r="O44" s="56"/>
    </row>
    <row r="45" spans="1:15">
      <c r="F45" s="53"/>
      <c r="G45" s="55"/>
      <c r="H45" s="55"/>
      <c r="O45" s="56"/>
    </row>
    <row r="46" spans="1:15">
      <c r="F46" s="53"/>
      <c r="G46" s="55"/>
      <c r="H46" s="55"/>
      <c r="O46" s="56"/>
    </row>
    <row r="47" spans="1:15">
      <c r="F47" s="53"/>
      <c r="G47" s="55"/>
      <c r="H47" s="55"/>
      <c r="O47" s="56"/>
    </row>
    <row r="48" spans="1:15">
      <c r="F48" s="53"/>
      <c r="G48" s="55"/>
      <c r="H48" s="55"/>
      <c r="O48" s="56"/>
    </row>
    <row r="49" spans="1:15">
      <c r="F49" s="53"/>
      <c r="G49" s="55"/>
      <c r="H49" s="55"/>
      <c r="O49" s="56"/>
    </row>
    <row r="50" spans="1:15">
      <c r="B50" s="57"/>
      <c r="F50" s="53"/>
      <c r="G50" s="55"/>
      <c r="H50" s="55"/>
      <c r="O50" s="56"/>
    </row>
    <row r="51" spans="1:15">
      <c r="F51" s="53"/>
      <c r="G51" s="55"/>
      <c r="H51" s="55"/>
      <c r="O51" s="56"/>
    </row>
    <row r="52" spans="1:15">
      <c r="A52" s="57"/>
      <c r="F52" s="58"/>
      <c r="G52" s="58"/>
      <c r="O52" s="56"/>
    </row>
    <row r="53" spans="1:15">
      <c r="G53" s="55"/>
      <c r="I53" s="55"/>
      <c r="O53" s="56"/>
    </row>
    <row r="54" spans="1:15">
      <c r="G54" s="55"/>
      <c r="I54" s="55"/>
      <c r="O54" s="56"/>
    </row>
    <row r="55" spans="1:15">
      <c r="G55" s="55"/>
      <c r="I55" s="55"/>
      <c r="O55" s="56"/>
    </row>
    <row r="56" spans="1:15">
      <c r="G56" s="55"/>
      <c r="I56" s="55"/>
      <c r="O56" s="56"/>
    </row>
    <row r="57" spans="1:15">
      <c r="G57" s="55"/>
      <c r="I57" s="55"/>
      <c r="O57" s="56"/>
    </row>
    <row r="58" spans="1:15">
      <c r="G58" s="55"/>
      <c r="I58" s="55"/>
      <c r="O58" s="56"/>
    </row>
    <row r="59" spans="1:15">
      <c r="G59" s="55"/>
      <c r="I59" s="55"/>
      <c r="O59" s="56"/>
    </row>
    <row r="60" spans="1:15">
      <c r="B60" s="57"/>
      <c r="F60" s="53"/>
      <c r="G60" s="55"/>
      <c r="H60" s="55"/>
      <c r="O60" s="56"/>
    </row>
    <row r="61" spans="1:15">
      <c r="F61" s="53"/>
      <c r="G61" s="55"/>
      <c r="H61" s="55"/>
      <c r="O61" s="56"/>
    </row>
    <row r="62" spans="1:15">
      <c r="A62" s="57"/>
      <c r="F62" s="53"/>
      <c r="G62" s="55"/>
      <c r="H62" s="55"/>
      <c r="O62" s="56"/>
    </row>
    <row r="63" spans="1:15">
      <c r="F63" s="53"/>
      <c r="G63" s="55"/>
      <c r="H63" s="55"/>
      <c r="O63" s="56"/>
    </row>
    <row r="64" spans="1:15">
      <c r="F64" s="53"/>
      <c r="G64" s="55"/>
      <c r="H64" s="55"/>
      <c r="O64" s="56"/>
    </row>
    <row r="65" spans="1:15">
      <c r="F65" s="53"/>
      <c r="G65" s="55"/>
      <c r="H65" s="55"/>
      <c r="O65" s="56"/>
    </row>
    <row r="66" spans="1:15">
      <c r="F66" s="53"/>
      <c r="G66" s="55"/>
      <c r="H66" s="55"/>
      <c r="O66" s="56"/>
    </row>
    <row r="67" spans="1:15">
      <c r="F67" s="53"/>
      <c r="G67" s="55"/>
      <c r="H67" s="55"/>
      <c r="O67" s="56"/>
    </row>
    <row r="68" spans="1:15">
      <c r="F68" s="53"/>
      <c r="G68" s="55"/>
      <c r="H68" s="55"/>
      <c r="O68" s="56"/>
    </row>
    <row r="69" spans="1:15">
      <c r="B69" s="57"/>
      <c r="F69" s="53"/>
      <c r="G69" s="55"/>
      <c r="H69" s="55"/>
      <c r="O69" s="56"/>
    </row>
    <row r="70" spans="1:15">
      <c r="F70" s="53"/>
      <c r="G70" s="55"/>
      <c r="H70" s="55"/>
      <c r="O70" s="56"/>
    </row>
    <row r="71" spans="1:15">
      <c r="A71" s="57"/>
      <c r="F71" s="53"/>
      <c r="G71" s="55"/>
      <c r="H71" s="55"/>
      <c r="O71" s="56"/>
    </row>
    <row r="72" spans="1:15">
      <c r="F72" s="53"/>
      <c r="G72" s="55"/>
      <c r="H72" s="55"/>
      <c r="O72" s="56"/>
    </row>
    <row r="73" spans="1:15">
      <c r="F73" s="53"/>
      <c r="G73" s="55"/>
      <c r="H73" s="55"/>
      <c r="O73" s="56"/>
    </row>
    <row r="74" spans="1:15">
      <c r="B74" s="57"/>
      <c r="F74" s="53"/>
      <c r="G74" s="55"/>
      <c r="H74" s="55"/>
      <c r="O74" s="56"/>
    </row>
    <row r="75" spans="1:15">
      <c r="F75" s="53"/>
      <c r="G75" s="55"/>
      <c r="H75" s="55"/>
      <c r="O75" s="56"/>
    </row>
    <row r="76" spans="1:15">
      <c r="F76" s="53"/>
      <c r="G76" s="55"/>
      <c r="H76" s="55"/>
      <c r="O76" s="56"/>
    </row>
    <row r="77" spans="1:15">
      <c r="F77" s="53"/>
      <c r="G77" s="55"/>
      <c r="H77" s="55"/>
      <c r="O77" s="56"/>
    </row>
    <row r="78" spans="1:15">
      <c r="F78" s="53"/>
      <c r="G78" s="55"/>
      <c r="H78" s="55"/>
      <c r="O78" s="56"/>
    </row>
    <row r="79" spans="1:15">
      <c r="F79" s="53"/>
      <c r="G79" s="55"/>
      <c r="H79" s="55"/>
      <c r="O79" s="56"/>
    </row>
    <row r="80" spans="1:15">
      <c r="F80" s="53"/>
      <c r="G80" s="55"/>
      <c r="H80" s="55"/>
      <c r="O80" s="56"/>
    </row>
    <row r="81" spans="6:15">
      <c r="F81" s="53"/>
      <c r="G81" s="55"/>
      <c r="H81" s="55"/>
      <c r="O81" s="56"/>
    </row>
    <row r="82" spans="6:15">
      <c r="F82" s="53"/>
      <c r="G82" s="55"/>
      <c r="H82" s="55"/>
      <c r="O82" s="56"/>
    </row>
    <row r="83" spans="6:15">
      <c r="F83" s="53"/>
      <c r="G83" s="55"/>
      <c r="H83" s="55"/>
      <c r="O83" s="56"/>
    </row>
    <row r="84" spans="6:15">
      <c r="F84" s="53"/>
      <c r="G84" s="55"/>
      <c r="H84" s="55"/>
      <c r="O84" s="56"/>
    </row>
    <row r="85" spans="6:15">
      <c r="F85" s="53"/>
      <c r="G85" s="55"/>
      <c r="H85" s="55"/>
      <c r="O85" s="56"/>
    </row>
    <row r="86" spans="6:15">
      <c r="F86" s="53"/>
      <c r="G86" s="55"/>
      <c r="H86" s="55"/>
      <c r="O86" s="56"/>
    </row>
    <row r="87" spans="6:15">
      <c r="F87" s="53"/>
      <c r="G87" s="55"/>
      <c r="H87" s="55"/>
      <c r="O87" s="56"/>
    </row>
  </sheetData>
  <mergeCells count="2">
    <mergeCell ref="A1:O1"/>
    <mergeCell ref="G2:H2"/>
  </mergeCells>
  <printOptions horizontalCentered="1"/>
  <pageMargins left="0.16" right="0.16" top="0.98" bottom="0.98" header="0.51" footer="0.51"/>
  <pageSetup paperSize="9" scale="70" orientation="landscape"/>
  <headerFooter alignWithMargins="0">
    <oddFooter>&amp;C第 &amp;P 页，共 &amp;N 页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9"/>
  <sheetViews>
    <sheetView zoomScale="70" zoomScaleNormal="70" workbookViewId="0">
      <selection activeCell="A1" sqref="A1:O1"/>
    </sheetView>
  </sheetViews>
  <sheetFormatPr defaultColWidth="9" defaultRowHeight="14.25"/>
  <cols>
    <col min="1" max="2" width="9" style="20"/>
    <col min="3" max="4" width="13.25" style="20" customWidth="1"/>
    <col min="5" max="5" width="12.125" style="20" customWidth="1"/>
    <col min="6" max="7" width="14.5" style="20" customWidth="1"/>
    <col min="8" max="8" width="14.875" style="20" customWidth="1"/>
    <col min="9" max="13" width="13.25" style="20" customWidth="1"/>
    <col min="14" max="14" width="12.75" style="20" customWidth="1"/>
    <col min="15" max="15" width="17.5" style="20" customWidth="1"/>
    <col min="16" max="16384" width="9" style="20"/>
  </cols>
  <sheetData>
    <row r="1" ht="25.5" spans="1:16">
      <c r="A1" s="63" t="s">
        <v>184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ht="22.5" customHeight="1" spans="1:16">
      <c r="A2" s="64" t="s">
        <v>36</v>
      </c>
      <c r="B2" s="64"/>
      <c r="C2" s="64"/>
      <c r="D2" s="64"/>
      <c r="E2" s="65"/>
      <c r="F2" s="65"/>
      <c r="G2" s="65"/>
      <c r="H2" s="65"/>
    </row>
    <row r="3" ht="22.5" customHeight="1" spans="1:16">
      <c r="A3" s="66" t="s">
        <v>185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  <c r="P3" s="43"/>
    </row>
    <row r="4" ht="22.5" customHeight="1" spans="1:16">
      <c r="A4" s="42"/>
      <c r="B4" s="43" t="s">
        <v>186</v>
      </c>
      <c r="C4" s="43"/>
      <c r="D4" s="46" t="s">
        <v>62</v>
      </c>
      <c r="E4" s="46" t="s">
        <v>187</v>
      </c>
      <c r="F4" s="46" t="s">
        <v>188</v>
      </c>
      <c r="G4" s="46"/>
      <c r="H4" s="43" t="s">
        <v>189</v>
      </c>
      <c r="I4" s="43"/>
      <c r="J4" s="43"/>
      <c r="K4" s="43"/>
      <c r="L4" s="43"/>
      <c r="M4" s="43"/>
      <c r="N4" s="43"/>
      <c r="O4" s="46" t="s">
        <v>50</v>
      </c>
      <c r="P4" s="43"/>
    </row>
    <row r="5" ht="22.5" customHeight="1" spans="1:16">
      <c r="A5" s="42"/>
      <c r="B5" s="43" t="s">
        <v>81</v>
      </c>
      <c r="C5" s="43"/>
      <c r="D5" s="46">
        <f>'1.工资福利'!C4</f>
        <v>1</v>
      </c>
      <c r="E5" s="44">
        <v>10</v>
      </c>
      <c r="F5" s="69">
        <f>D5*E5*12</f>
        <v>120</v>
      </c>
      <c r="G5" s="69"/>
      <c r="H5" s="43"/>
      <c r="I5" s="47"/>
      <c r="J5" s="43"/>
      <c r="K5" s="43"/>
      <c r="L5" s="43"/>
      <c r="M5" s="43"/>
      <c r="N5" s="43"/>
      <c r="O5" s="69">
        <f>F5</f>
        <v>120</v>
      </c>
      <c r="P5" s="43"/>
    </row>
    <row r="6" ht="22.5" customHeight="1" spans="1:16">
      <c r="A6" s="42"/>
      <c r="B6" s="43" t="s">
        <v>190</v>
      </c>
      <c r="C6" s="43"/>
      <c r="D6" s="46">
        <f>'1.工资福利'!C5+'1.工资福利'!C6+'1.工资福利'!C9+'1.工资福利'!C12</f>
        <v>4</v>
      </c>
      <c r="E6" s="44">
        <v>8</v>
      </c>
      <c r="F6" s="69">
        <f>D6*E6*12</f>
        <v>384</v>
      </c>
      <c r="G6" s="69"/>
      <c r="H6" s="43"/>
      <c r="I6" s="47"/>
      <c r="J6" s="43"/>
      <c r="K6" s="43"/>
      <c r="L6" s="43"/>
      <c r="M6" s="43"/>
      <c r="N6" s="43"/>
      <c r="O6" s="69">
        <f>F6</f>
        <v>384</v>
      </c>
      <c r="P6" s="43"/>
    </row>
    <row r="7" ht="22.5" customHeight="1" spans="1:16">
      <c r="A7" s="42"/>
      <c r="B7" s="43" t="s">
        <v>191</v>
      </c>
      <c r="C7" s="43"/>
      <c r="D7" s="46">
        <f>'1.工资福利'!C7+'1.工资福利'!C8+'1.工资福利'!C10+'1.工资福利'!C11+'1.工资福利'!C13+'1.工资福利'!C14</f>
        <v>14</v>
      </c>
      <c r="E7" s="44">
        <v>6</v>
      </c>
      <c r="F7" s="69">
        <f>D7*E7*12</f>
        <v>1008</v>
      </c>
      <c r="G7" s="69"/>
      <c r="H7" s="43"/>
      <c r="I7" s="47"/>
      <c r="J7" s="43"/>
      <c r="K7" s="43"/>
      <c r="L7" s="43"/>
      <c r="M7" s="43"/>
      <c r="N7" s="43"/>
      <c r="O7" s="69">
        <f>F7</f>
        <v>1008</v>
      </c>
      <c r="P7" s="43"/>
    </row>
    <row r="8" ht="22.5" customHeight="1" spans="1:16">
      <c r="A8" s="42"/>
      <c r="B8" s="43" t="s">
        <v>192</v>
      </c>
      <c r="C8" s="43"/>
      <c r="D8" s="46">
        <f>'5.秩序维护'!D4</f>
        <v>20</v>
      </c>
      <c r="E8" s="44">
        <v>6</v>
      </c>
      <c r="F8" s="69">
        <f>D8*E8*12</f>
        <v>1440</v>
      </c>
      <c r="G8" s="69"/>
      <c r="H8" s="43"/>
      <c r="I8" s="47"/>
      <c r="J8" s="43"/>
      <c r="K8" s="43"/>
      <c r="L8" s="43"/>
      <c r="M8" s="43"/>
      <c r="N8" s="43"/>
      <c r="O8" s="69">
        <f>F8</f>
        <v>1440</v>
      </c>
      <c r="P8" s="43"/>
    </row>
    <row r="9" ht="22.5" customHeight="1" spans="1:16">
      <c r="A9" s="70"/>
      <c r="B9" s="70" t="s">
        <v>13</v>
      </c>
      <c r="C9" s="48"/>
      <c r="D9" s="71">
        <f>SUM(D5:D8)</f>
        <v>39</v>
      </c>
      <c r="E9" s="48"/>
      <c r="F9" s="72"/>
      <c r="G9" s="49"/>
      <c r="H9" s="48"/>
      <c r="I9" s="72"/>
      <c r="J9" s="48"/>
      <c r="K9" s="48"/>
      <c r="L9" s="48"/>
      <c r="M9" s="48"/>
      <c r="N9" s="48"/>
      <c r="O9" s="52">
        <f>SUM(O5:O8)</f>
        <v>2952</v>
      </c>
      <c r="P9" s="43"/>
    </row>
    <row r="10" ht="22.5" customHeight="1" spans="1:16">
      <c r="A10" s="42" t="s">
        <v>193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73"/>
      <c r="P10" s="43"/>
    </row>
    <row r="11" ht="22.5" customHeight="1" spans="1:16">
      <c r="A11" s="42"/>
      <c r="B11" s="46" t="s">
        <v>194</v>
      </c>
      <c r="C11" s="43"/>
      <c r="D11" s="46" t="s">
        <v>195</v>
      </c>
      <c r="E11" s="46" t="s">
        <v>196</v>
      </c>
      <c r="G11" s="46" t="s">
        <v>197</v>
      </c>
      <c r="H11" s="43"/>
      <c r="I11" s="47"/>
      <c r="J11" s="43"/>
      <c r="K11" s="43"/>
      <c r="L11" s="43"/>
      <c r="M11" s="43"/>
      <c r="N11" s="43"/>
      <c r="O11" s="45" t="s">
        <v>50</v>
      </c>
      <c r="P11" s="43"/>
    </row>
    <row r="12" ht="22.5" customHeight="1" spans="1:16">
      <c r="A12" s="42"/>
      <c r="B12" s="43" t="s">
        <v>198</v>
      </c>
      <c r="C12" s="43"/>
      <c r="D12" s="74">
        <v>1</v>
      </c>
      <c r="E12" s="69">
        <v>600</v>
      </c>
      <c r="G12" s="43" t="s">
        <v>199</v>
      </c>
      <c r="H12" s="43"/>
      <c r="I12" s="47"/>
      <c r="J12" s="43"/>
      <c r="K12" s="43"/>
      <c r="L12" s="43"/>
      <c r="M12" s="43"/>
      <c r="N12" s="43"/>
      <c r="O12" s="44">
        <f t="shared" ref="O12:O17" si="0">D12*E12*4</f>
        <v>2400</v>
      </c>
      <c r="P12" s="43"/>
    </row>
    <row r="13" ht="22.5" customHeight="1" spans="1:16">
      <c r="A13" s="42"/>
      <c r="B13" s="43" t="s">
        <v>200</v>
      </c>
      <c r="C13" s="43"/>
      <c r="D13" s="75">
        <f>1/4</f>
        <v>0.25</v>
      </c>
      <c r="E13" s="69">
        <v>450</v>
      </c>
      <c r="G13" s="43" t="s">
        <v>201</v>
      </c>
      <c r="H13" s="43"/>
      <c r="I13" s="47"/>
      <c r="J13" s="43"/>
      <c r="K13" s="43"/>
      <c r="L13" s="43"/>
      <c r="M13" s="43"/>
      <c r="N13" s="43"/>
      <c r="O13" s="44">
        <f t="shared" si="0"/>
        <v>450</v>
      </c>
      <c r="P13" s="43"/>
    </row>
    <row r="14" ht="22.5" customHeight="1" spans="1:16">
      <c r="A14" s="42"/>
      <c r="B14" s="43" t="s">
        <v>202</v>
      </c>
      <c r="C14" s="43"/>
      <c r="D14" s="75">
        <v>3</v>
      </c>
      <c r="E14" s="69">
        <v>150</v>
      </c>
      <c r="G14" s="43" t="s">
        <v>203</v>
      </c>
      <c r="H14" s="43"/>
      <c r="I14" s="47"/>
      <c r="J14" s="43"/>
      <c r="K14" s="43"/>
      <c r="L14" s="43"/>
      <c r="M14" s="43"/>
      <c r="N14" s="43"/>
      <c r="O14" s="44">
        <f t="shared" si="0"/>
        <v>1800</v>
      </c>
      <c r="P14" s="43"/>
    </row>
    <row r="15" ht="22.5" customHeight="1" spans="1:16">
      <c r="A15" s="42"/>
      <c r="B15" s="43" t="s">
        <v>204</v>
      </c>
      <c r="C15" s="43"/>
      <c r="D15" s="75">
        <v>6</v>
      </c>
      <c r="E15" s="69">
        <v>100</v>
      </c>
      <c r="G15" s="43" t="s">
        <v>205</v>
      </c>
      <c r="H15" s="43"/>
      <c r="I15" s="47"/>
      <c r="J15" s="43"/>
      <c r="K15" s="43"/>
      <c r="L15" s="43"/>
      <c r="M15" s="43"/>
      <c r="N15" s="43"/>
      <c r="O15" s="44">
        <f t="shared" si="0"/>
        <v>2400</v>
      </c>
      <c r="P15" s="43"/>
    </row>
    <row r="16" ht="22.5" customHeight="1" spans="1:16">
      <c r="A16" s="42"/>
      <c r="B16" s="43" t="s">
        <v>206</v>
      </c>
      <c r="C16" s="43"/>
      <c r="D16" s="75">
        <v>3</v>
      </c>
      <c r="E16" s="45">
        <v>15</v>
      </c>
      <c r="G16" s="44"/>
      <c r="H16" s="43"/>
      <c r="I16" s="44"/>
      <c r="J16" s="44"/>
      <c r="K16" s="44"/>
      <c r="L16" s="44"/>
      <c r="M16" s="44"/>
      <c r="N16" s="44"/>
      <c r="O16" s="44">
        <f t="shared" si="0"/>
        <v>180</v>
      </c>
      <c r="P16" s="43"/>
    </row>
    <row r="17" ht="22.5" customHeight="1" spans="1:16">
      <c r="A17" s="42"/>
      <c r="B17" s="43" t="s">
        <v>207</v>
      </c>
      <c r="C17" s="43"/>
      <c r="D17" s="75">
        <v>1</v>
      </c>
      <c r="E17" s="45">
        <v>600</v>
      </c>
      <c r="G17" s="44" t="s">
        <v>208</v>
      </c>
      <c r="H17" s="43"/>
      <c r="I17" s="44"/>
      <c r="J17" s="44"/>
      <c r="K17" s="44"/>
      <c r="L17" s="44"/>
      <c r="M17" s="44"/>
      <c r="N17" s="44"/>
      <c r="O17" s="44">
        <f t="shared" si="0"/>
        <v>2400</v>
      </c>
      <c r="P17" s="43"/>
    </row>
    <row r="18" ht="22.5" customHeight="1" spans="1:16">
      <c r="A18" s="48"/>
      <c r="B18" s="70" t="s">
        <v>13</v>
      </c>
      <c r="C18" s="49"/>
      <c r="D18" s="50"/>
      <c r="E18" s="50"/>
      <c r="F18" s="50"/>
      <c r="G18" s="49"/>
      <c r="H18" s="49"/>
      <c r="I18" s="49"/>
      <c r="J18" s="49"/>
      <c r="K18" s="49"/>
      <c r="L18" s="49"/>
      <c r="M18" s="49"/>
      <c r="N18" s="49"/>
      <c r="O18" s="76">
        <f>SUM(O12:O17)</f>
        <v>9630</v>
      </c>
      <c r="P18" s="43"/>
    </row>
    <row r="19" ht="22.5" customHeight="1" spans="1:16">
      <c r="A19" s="42" t="s">
        <v>209</v>
      </c>
      <c r="B19" s="43"/>
      <c r="C19" s="44"/>
      <c r="D19" s="45"/>
      <c r="E19" s="45"/>
      <c r="F19" s="44"/>
      <c r="G19" s="44"/>
      <c r="H19" s="44"/>
      <c r="I19" s="44"/>
      <c r="J19" s="44"/>
      <c r="K19" s="44"/>
      <c r="L19" s="44"/>
      <c r="M19" s="44"/>
      <c r="N19" s="44"/>
      <c r="O19" s="47"/>
      <c r="P19" s="43"/>
    </row>
    <row r="20" ht="22.5" customHeight="1" spans="1:16">
      <c r="A20" s="43"/>
      <c r="B20" s="46" t="s">
        <v>210</v>
      </c>
      <c r="C20" s="46"/>
      <c r="D20" s="45" t="s">
        <v>49</v>
      </c>
      <c r="E20" s="45" t="s">
        <v>211</v>
      </c>
      <c r="G20" s="45"/>
      <c r="H20" s="44"/>
      <c r="I20" s="44"/>
      <c r="J20" s="44"/>
      <c r="K20" s="44"/>
      <c r="L20" s="44"/>
      <c r="M20" s="44"/>
      <c r="N20" s="44"/>
      <c r="O20" s="45" t="s">
        <v>50</v>
      </c>
      <c r="P20" s="43"/>
    </row>
    <row r="21" ht="22.5" customHeight="1" spans="1:16">
      <c r="A21" s="43"/>
      <c r="B21" s="43" t="s">
        <v>212</v>
      </c>
      <c r="C21" s="43"/>
      <c r="D21" s="46"/>
      <c r="E21" s="45">
        <v>500</v>
      </c>
      <c r="G21" s="44"/>
      <c r="H21" s="44"/>
      <c r="I21" s="44"/>
      <c r="J21" s="44"/>
      <c r="K21" s="44"/>
      <c r="L21" s="44"/>
      <c r="M21" s="44"/>
      <c r="N21" s="44"/>
      <c r="O21" s="45">
        <f>E21*12</f>
        <v>6000</v>
      </c>
      <c r="P21" s="43"/>
    </row>
    <row r="22" ht="22.5" customHeight="1" spans="1:16">
      <c r="A22" s="43"/>
      <c r="B22" s="43" t="s">
        <v>213</v>
      </c>
      <c r="C22" s="43"/>
      <c r="D22" s="43"/>
      <c r="E22" s="45">
        <v>600</v>
      </c>
      <c r="G22" s="44"/>
      <c r="H22" s="44"/>
      <c r="I22" s="44"/>
      <c r="J22" s="44"/>
      <c r="K22" s="44"/>
      <c r="L22" s="44"/>
      <c r="M22" s="44"/>
      <c r="N22" s="44"/>
      <c r="O22" s="45">
        <f>E22*12</f>
        <v>7200</v>
      </c>
      <c r="P22" s="43"/>
    </row>
    <row r="23" ht="22.5" customHeight="1" spans="1:16">
      <c r="A23" s="43"/>
      <c r="B23" s="43" t="s">
        <v>214</v>
      </c>
      <c r="C23" s="43"/>
      <c r="D23" s="43"/>
      <c r="E23" s="45"/>
      <c r="G23" s="44"/>
      <c r="H23" s="44"/>
      <c r="I23" s="44"/>
      <c r="J23" s="44"/>
      <c r="K23" s="44"/>
      <c r="L23" s="44"/>
      <c r="M23" s="44"/>
      <c r="N23" s="44"/>
      <c r="O23" s="45">
        <v>4000</v>
      </c>
      <c r="P23" s="43"/>
    </row>
    <row r="24" ht="22.5" customHeight="1" spans="1:16">
      <c r="A24" s="48"/>
      <c r="B24" s="70" t="s">
        <v>13</v>
      </c>
      <c r="C24" s="48"/>
      <c r="D24" s="49"/>
      <c r="E24" s="50"/>
      <c r="F24" s="50"/>
      <c r="G24" s="49"/>
      <c r="H24" s="49"/>
      <c r="I24" s="49"/>
      <c r="J24" s="49"/>
      <c r="K24" s="49"/>
      <c r="L24" s="49"/>
      <c r="M24" s="49"/>
      <c r="N24" s="49"/>
      <c r="O24" s="52">
        <f>SUM(O21:O23)</f>
        <v>17200</v>
      </c>
      <c r="P24" s="43"/>
    </row>
    <row r="25" ht="22.5" customHeight="1" spans="1:16">
      <c r="A25" s="42" t="s">
        <v>215</v>
      </c>
      <c r="B25" s="43"/>
      <c r="C25" s="43"/>
      <c r="D25" s="43"/>
      <c r="E25" s="45"/>
      <c r="F25" s="44"/>
      <c r="G25" s="44"/>
      <c r="H25" s="43"/>
      <c r="I25" s="44"/>
      <c r="J25" s="44"/>
      <c r="K25" s="44"/>
      <c r="L25" s="44"/>
      <c r="M25" s="44"/>
      <c r="N25" s="44"/>
      <c r="O25" s="47"/>
      <c r="P25" s="43"/>
    </row>
    <row r="26" ht="22.5" customHeight="1" spans="1:16">
      <c r="A26" s="42"/>
      <c r="B26" s="43" t="s">
        <v>216</v>
      </c>
      <c r="C26" s="43"/>
      <c r="D26" s="46" t="s">
        <v>217</v>
      </c>
      <c r="E26" s="46" t="s">
        <v>211</v>
      </c>
      <c r="G26" s="45"/>
      <c r="H26" s="43"/>
      <c r="I26" s="44"/>
      <c r="J26" s="44"/>
      <c r="K26" s="44"/>
      <c r="L26" s="44"/>
      <c r="M26" s="44"/>
      <c r="N26" s="44"/>
      <c r="O26" s="45" t="s">
        <v>50</v>
      </c>
      <c r="P26" s="43"/>
    </row>
    <row r="27" ht="22.5" customHeight="1" spans="1:16">
      <c r="A27" s="42"/>
      <c r="B27" s="43" t="s">
        <v>218</v>
      </c>
      <c r="C27" s="43"/>
      <c r="D27" s="43">
        <v>3</v>
      </c>
      <c r="E27" s="44">
        <v>300</v>
      </c>
      <c r="G27" s="44"/>
      <c r="H27" s="43"/>
      <c r="I27" s="44"/>
      <c r="J27" s="44"/>
      <c r="K27" s="44"/>
      <c r="L27" s="44"/>
      <c r="M27" s="44"/>
      <c r="N27" s="44"/>
      <c r="O27" s="45">
        <f>D27*E27*12</f>
        <v>10800</v>
      </c>
      <c r="P27" s="43"/>
    </row>
    <row r="28" ht="22.5" customHeight="1" spans="1:16">
      <c r="A28" s="70"/>
      <c r="B28" s="70" t="s">
        <v>13</v>
      </c>
      <c r="C28" s="48"/>
      <c r="D28" s="48"/>
      <c r="E28" s="50"/>
      <c r="F28" s="49"/>
      <c r="G28" s="49"/>
      <c r="H28" s="48"/>
      <c r="I28" s="49"/>
      <c r="J28" s="49"/>
      <c r="K28" s="49"/>
      <c r="L28" s="49"/>
      <c r="M28" s="49"/>
      <c r="N28" s="49"/>
      <c r="O28" s="52">
        <f>SUM(O27)</f>
        <v>10800</v>
      </c>
      <c r="P28" s="43"/>
    </row>
    <row r="29" ht="22.5" customHeight="1" spans="1:16">
      <c r="A29" s="42" t="s">
        <v>219</v>
      </c>
      <c r="B29" s="43"/>
      <c r="C29" s="43"/>
      <c r="D29" s="43"/>
      <c r="E29" s="45"/>
      <c r="F29" s="44"/>
      <c r="G29" s="44"/>
      <c r="H29" s="43"/>
      <c r="I29" s="44"/>
      <c r="J29" s="44"/>
      <c r="K29" s="44"/>
      <c r="L29" s="44"/>
      <c r="M29" s="44"/>
      <c r="N29" s="44"/>
      <c r="O29" s="47"/>
      <c r="P29" s="43"/>
    </row>
    <row r="30" ht="22.5" customHeight="1" spans="1:16">
      <c r="A30" s="42"/>
      <c r="B30" s="46" t="s">
        <v>220</v>
      </c>
      <c r="C30" s="46"/>
      <c r="D30" s="46" t="s">
        <v>62</v>
      </c>
      <c r="E30" s="44" t="s">
        <v>221</v>
      </c>
      <c r="G30" s="45"/>
      <c r="H30" s="43"/>
      <c r="I30" s="44"/>
      <c r="J30" s="44"/>
      <c r="K30" s="44"/>
      <c r="L30" s="44"/>
      <c r="M30" s="44"/>
      <c r="N30" s="44"/>
      <c r="O30" s="46" t="s">
        <v>50</v>
      </c>
      <c r="P30" s="43"/>
    </row>
    <row r="31" ht="22.5" customHeight="1" spans="1:16">
      <c r="A31" s="42"/>
      <c r="B31" s="43" t="s">
        <v>222</v>
      </c>
      <c r="C31" s="43"/>
      <c r="D31" s="77">
        <f>'1.工资福利'!C4+'1.工资福利'!C5</f>
        <v>2</v>
      </c>
      <c r="E31" s="44">
        <v>0</v>
      </c>
      <c r="G31" s="45"/>
      <c r="H31" s="43"/>
      <c r="I31" s="44"/>
      <c r="J31" s="44"/>
      <c r="K31" s="44"/>
      <c r="L31" s="44"/>
      <c r="M31" s="44"/>
      <c r="N31" s="44"/>
      <c r="O31" s="47">
        <f>D31*E31*12</f>
        <v>0</v>
      </c>
      <c r="P31" s="43"/>
    </row>
    <row r="32" ht="22.5" customHeight="1" spans="1:16">
      <c r="A32" s="42"/>
      <c r="B32" s="43" t="s">
        <v>223</v>
      </c>
      <c r="C32" s="43"/>
      <c r="D32" s="78">
        <f>'1.工资福利'!C6+'1.工资福利'!C7+'1.工资福利'!C8</f>
        <v>7</v>
      </c>
      <c r="E32" s="44">
        <v>0</v>
      </c>
      <c r="G32" s="45"/>
      <c r="H32" s="43"/>
      <c r="I32" s="44"/>
      <c r="J32" s="44"/>
      <c r="K32" s="44"/>
      <c r="L32" s="44"/>
      <c r="M32" s="44"/>
      <c r="N32" s="44"/>
      <c r="O32" s="47">
        <f>D32*E32*12</f>
        <v>0</v>
      </c>
      <c r="P32" s="43"/>
    </row>
    <row r="33" ht="22.5" customHeight="1" spans="1:16">
      <c r="A33" s="42"/>
      <c r="B33" s="43" t="s">
        <v>92</v>
      </c>
      <c r="C33" s="43"/>
      <c r="D33" s="78">
        <f>'1.工资福利'!C12+'1.工资福利'!C13+'1.工资福利'!C14</f>
        <v>7</v>
      </c>
      <c r="E33" s="44">
        <v>0</v>
      </c>
      <c r="G33" s="45"/>
      <c r="H33" s="43"/>
      <c r="I33" s="44"/>
      <c r="J33" s="44"/>
      <c r="K33" s="44"/>
      <c r="L33" s="44"/>
      <c r="M33" s="44"/>
      <c r="N33" s="44"/>
      <c r="O33" s="47">
        <f>D33*E33*12</f>
        <v>0</v>
      </c>
      <c r="P33" s="43"/>
    </row>
    <row r="34" ht="22.5" customHeight="1" spans="1:16">
      <c r="A34" s="70"/>
      <c r="B34" s="70" t="s">
        <v>13</v>
      </c>
      <c r="C34" s="48"/>
      <c r="D34" s="48"/>
      <c r="E34" s="48"/>
      <c r="F34" s="50"/>
      <c r="G34" s="49"/>
      <c r="H34" s="48"/>
      <c r="I34" s="49"/>
      <c r="J34" s="49"/>
      <c r="K34" s="49"/>
      <c r="L34" s="49"/>
      <c r="M34" s="49"/>
      <c r="N34" s="49"/>
      <c r="O34" s="52">
        <f>SUM(O31:O33)</f>
        <v>0</v>
      </c>
      <c r="P34" s="43"/>
    </row>
    <row r="35" ht="22.5" customHeight="1" spans="1:16">
      <c r="A35" s="42" t="s">
        <v>224</v>
      </c>
      <c r="B35" s="43"/>
      <c r="C35" s="43"/>
      <c r="D35" s="43"/>
      <c r="E35" s="45"/>
      <c r="F35" s="44"/>
      <c r="G35" s="44"/>
      <c r="H35" s="43"/>
      <c r="I35" s="44"/>
      <c r="J35" s="44"/>
      <c r="K35" s="44"/>
      <c r="L35" s="44"/>
      <c r="M35" s="44"/>
      <c r="N35" s="44"/>
      <c r="O35" s="47"/>
      <c r="P35" s="43"/>
    </row>
    <row r="36" ht="22.5" customHeight="1" spans="1:16">
      <c r="A36" s="79"/>
      <c r="B36" s="80" t="s">
        <v>220</v>
      </c>
      <c r="C36" s="80"/>
      <c r="D36" s="80" t="s">
        <v>225</v>
      </c>
      <c r="E36" s="80" t="s">
        <v>187</v>
      </c>
      <c r="F36" s="81"/>
      <c r="G36" s="82"/>
      <c r="H36" s="43"/>
      <c r="I36" s="44"/>
      <c r="J36" s="44"/>
      <c r="K36" s="44"/>
      <c r="L36" s="44"/>
      <c r="M36" s="44"/>
      <c r="N36" s="44"/>
      <c r="O36" s="45" t="s">
        <v>50</v>
      </c>
      <c r="P36" s="43"/>
    </row>
    <row r="37" ht="22.5" customHeight="1" spans="1:16">
      <c r="A37" s="79"/>
      <c r="B37" s="83" t="s">
        <v>226</v>
      </c>
      <c r="C37" s="83"/>
      <c r="D37" s="80">
        <v>1</v>
      </c>
      <c r="E37" s="84">
        <v>150</v>
      </c>
      <c r="F37" s="81"/>
      <c r="G37" s="84"/>
      <c r="H37" s="43"/>
      <c r="I37" s="44"/>
      <c r="J37" s="44"/>
      <c r="K37" s="44"/>
      <c r="L37" s="44"/>
      <c r="M37" s="44"/>
      <c r="N37" s="44"/>
      <c r="O37" s="47">
        <f t="shared" ref="O37:O42" si="1">D37*E37*12</f>
        <v>1800</v>
      </c>
      <c r="P37" s="43"/>
    </row>
    <row r="38" ht="22.5" customHeight="1" spans="1:16">
      <c r="A38" s="79"/>
      <c r="B38" s="83" t="s">
        <v>223</v>
      </c>
      <c r="C38" s="83"/>
      <c r="D38" s="80">
        <v>1</v>
      </c>
      <c r="E38" s="84">
        <v>150</v>
      </c>
      <c r="F38" s="81"/>
      <c r="G38" s="84"/>
      <c r="H38" s="43"/>
      <c r="I38" s="44"/>
      <c r="J38" s="44"/>
      <c r="K38" s="44"/>
      <c r="L38" s="44"/>
      <c r="M38" s="44"/>
      <c r="N38" s="44"/>
      <c r="O38" s="47">
        <f t="shared" si="1"/>
        <v>1800</v>
      </c>
      <c r="P38" s="43"/>
    </row>
    <row r="39" ht="22.5" customHeight="1" spans="1:16">
      <c r="A39" s="79"/>
      <c r="B39" s="83" t="s">
        <v>227</v>
      </c>
      <c r="C39" s="83"/>
      <c r="D39" s="80">
        <v>1</v>
      </c>
      <c r="E39" s="84">
        <v>200</v>
      </c>
      <c r="F39" s="81"/>
      <c r="G39" s="84"/>
      <c r="H39" s="43"/>
      <c r="I39" s="44"/>
      <c r="J39" s="44"/>
      <c r="K39" s="44"/>
      <c r="L39" s="44"/>
      <c r="M39" s="44"/>
      <c r="N39" s="44"/>
      <c r="O39" s="47">
        <f t="shared" si="1"/>
        <v>2400</v>
      </c>
      <c r="P39" s="43"/>
    </row>
    <row r="40" ht="22.5" customHeight="1" spans="1:16">
      <c r="A40" s="79"/>
      <c r="B40" s="83" t="s">
        <v>228</v>
      </c>
      <c r="C40" s="83"/>
      <c r="D40" s="80">
        <v>1</v>
      </c>
      <c r="E40" s="84">
        <v>150</v>
      </c>
      <c r="F40" s="81"/>
      <c r="G40" s="84"/>
      <c r="H40" s="43"/>
      <c r="I40" s="44"/>
      <c r="J40" s="44"/>
      <c r="K40" s="44"/>
      <c r="L40" s="44"/>
      <c r="M40" s="44"/>
      <c r="N40" s="44"/>
      <c r="O40" s="47">
        <f t="shared" si="1"/>
        <v>1800</v>
      </c>
      <c r="P40" s="43"/>
    </row>
    <row r="41" ht="22.5" customHeight="1" spans="1:16">
      <c r="A41" s="79"/>
      <c r="B41" s="83" t="s">
        <v>229</v>
      </c>
      <c r="C41" s="83"/>
      <c r="D41" s="80">
        <v>1</v>
      </c>
      <c r="E41" s="84">
        <v>150</v>
      </c>
      <c r="F41" s="81"/>
      <c r="G41" s="84"/>
      <c r="H41" s="43"/>
      <c r="I41" s="44"/>
      <c r="J41" s="44"/>
      <c r="K41" s="44"/>
      <c r="L41" s="44"/>
      <c r="M41" s="44"/>
      <c r="N41" s="44"/>
      <c r="O41" s="47">
        <f t="shared" si="1"/>
        <v>1800</v>
      </c>
      <c r="P41" s="43"/>
    </row>
    <row r="42" ht="22.5" customHeight="1" spans="1:16">
      <c r="A42" s="79"/>
      <c r="B42" s="83" t="s">
        <v>230</v>
      </c>
      <c r="C42" s="83"/>
      <c r="D42" s="80">
        <v>1</v>
      </c>
      <c r="E42" s="84">
        <v>50</v>
      </c>
      <c r="F42" s="81"/>
      <c r="G42" s="84"/>
      <c r="H42" s="43"/>
      <c r="I42" s="44"/>
      <c r="J42" s="44"/>
      <c r="K42" s="44"/>
      <c r="L42" s="44"/>
      <c r="M42" s="44"/>
      <c r="N42" s="44"/>
      <c r="O42" s="47">
        <f t="shared" si="1"/>
        <v>600</v>
      </c>
      <c r="P42" s="43"/>
    </row>
    <row r="43" ht="22.5" customHeight="1" spans="1:16">
      <c r="A43" s="70"/>
      <c r="B43" s="70" t="s">
        <v>13</v>
      </c>
      <c r="C43" s="48"/>
      <c r="D43" s="71"/>
      <c r="E43" s="49"/>
      <c r="F43" s="50"/>
      <c r="G43" s="49"/>
      <c r="H43" s="48"/>
      <c r="I43" s="49"/>
      <c r="J43" s="49"/>
      <c r="K43" s="49"/>
      <c r="L43" s="49"/>
      <c r="M43" s="49"/>
      <c r="N43" s="49"/>
      <c r="O43" s="52">
        <f>SUM(O37:O42)</f>
        <v>10200</v>
      </c>
      <c r="P43" s="43"/>
    </row>
    <row r="44" ht="22.5" customHeight="1" spans="1:16">
      <c r="A44" s="42" t="s">
        <v>231</v>
      </c>
      <c r="B44" s="43"/>
      <c r="C44" s="43"/>
      <c r="D44" s="43"/>
      <c r="E44" s="43"/>
      <c r="F44" s="45"/>
      <c r="G44" s="44"/>
      <c r="H44" s="43"/>
      <c r="I44" s="44"/>
      <c r="J44" s="44"/>
      <c r="K44" s="44"/>
      <c r="L44" s="44"/>
      <c r="M44" s="44"/>
      <c r="N44" s="44"/>
      <c r="O44" s="47"/>
      <c r="P44" s="43"/>
    </row>
    <row r="45" ht="22.5" customHeight="1" spans="1:16">
      <c r="A45" s="42"/>
      <c r="B45" s="46" t="s">
        <v>186</v>
      </c>
      <c r="C45" s="46"/>
      <c r="D45" s="46" t="s">
        <v>62</v>
      </c>
      <c r="E45" s="46" t="s">
        <v>187</v>
      </c>
      <c r="G45" s="46"/>
      <c r="H45" s="43"/>
      <c r="I45" s="44"/>
      <c r="J45" s="44"/>
      <c r="K45" s="44"/>
      <c r="L45" s="44"/>
      <c r="M45" s="44"/>
      <c r="N45" s="44"/>
      <c r="O45" s="46" t="s">
        <v>50</v>
      </c>
      <c r="P45" s="43"/>
    </row>
    <row r="46" ht="22.5" customHeight="1" spans="1:16">
      <c r="A46" s="42"/>
      <c r="B46" s="43" t="s">
        <v>80</v>
      </c>
      <c r="C46" s="43"/>
      <c r="D46" s="46">
        <f>'1.工资福利'!C4</f>
        <v>1</v>
      </c>
      <c r="E46" s="44">
        <v>150</v>
      </c>
      <c r="G46" s="43"/>
      <c r="H46" s="43"/>
      <c r="I46" s="44"/>
      <c r="J46" s="44"/>
      <c r="K46" s="44"/>
      <c r="L46" s="44"/>
      <c r="M46" s="44"/>
      <c r="N46" s="44"/>
      <c r="O46" s="47">
        <f t="shared" ref="O46:O51" si="2">D46*E46*12</f>
        <v>1800</v>
      </c>
      <c r="P46" s="43"/>
    </row>
    <row r="47" ht="22.5" customHeight="1" spans="1:16">
      <c r="A47" s="42"/>
      <c r="B47" s="43" t="s">
        <v>232</v>
      </c>
      <c r="C47" s="43"/>
      <c r="D47" s="46">
        <f>'1.工资福利'!C9</f>
        <v>1</v>
      </c>
      <c r="E47" s="44">
        <v>150</v>
      </c>
      <c r="G47" s="43"/>
      <c r="H47" s="43"/>
      <c r="I47" s="44"/>
      <c r="J47" s="44"/>
      <c r="K47" s="44"/>
      <c r="L47" s="44"/>
      <c r="M47" s="44"/>
      <c r="N47" s="44"/>
      <c r="O47" s="47">
        <f t="shared" si="2"/>
        <v>1800</v>
      </c>
      <c r="P47" s="43"/>
    </row>
    <row r="48" ht="22.5" customHeight="1" spans="1:16">
      <c r="A48" s="42"/>
      <c r="B48" s="43" t="s">
        <v>223</v>
      </c>
      <c r="C48" s="43"/>
      <c r="D48" s="46">
        <f>'1.工资福利'!C6</f>
        <v>1</v>
      </c>
      <c r="E48" s="44">
        <v>150</v>
      </c>
      <c r="G48" s="43"/>
      <c r="H48" s="43"/>
      <c r="I48" s="44"/>
      <c r="J48" s="44"/>
      <c r="K48" s="44"/>
      <c r="L48" s="44"/>
      <c r="M48" s="44"/>
      <c r="N48" s="44"/>
      <c r="O48" s="47">
        <f t="shared" si="2"/>
        <v>1800</v>
      </c>
      <c r="P48" s="43"/>
    </row>
    <row r="49" ht="22.5" customHeight="1" spans="1:16">
      <c r="A49" s="42"/>
      <c r="B49" s="43" t="s">
        <v>233</v>
      </c>
      <c r="C49" s="43"/>
      <c r="D49" s="46">
        <f>'1.工资福利'!C7+'1.工资福利'!C8</f>
        <v>6</v>
      </c>
      <c r="E49" s="44">
        <v>100</v>
      </c>
      <c r="G49" s="43"/>
      <c r="H49" s="43"/>
      <c r="I49" s="44"/>
      <c r="J49" s="44"/>
      <c r="K49" s="44"/>
      <c r="L49" s="44"/>
      <c r="M49" s="44"/>
      <c r="N49" s="44"/>
      <c r="O49" s="47">
        <f t="shared" si="2"/>
        <v>7200</v>
      </c>
      <c r="P49" s="43"/>
    </row>
    <row r="50" ht="22.5" customHeight="1" spans="1:16">
      <c r="A50" s="42"/>
      <c r="B50" s="43" t="s">
        <v>92</v>
      </c>
      <c r="C50" s="43"/>
      <c r="D50" s="46">
        <f>'1.工资福利'!C12</f>
        <v>1</v>
      </c>
      <c r="E50" s="44">
        <v>150</v>
      </c>
      <c r="G50" s="43"/>
      <c r="H50" s="43"/>
      <c r="I50" s="44"/>
      <c r="J50" s="44"/>
      <c r="K50" s="44"/>
      <c r="L50" s="44"/>
      <c r="M50" s="44"/>
      <c r="N50" s="44"/>
      <c r="O50" s="47">
        <f t="shared" si="2"/>
        <v>1800</v>
      </c>
      <c r="P50" s="43"/>
    </row>
    <row r="51" ht="22.5" customHeight="1" spans="1:16">
      <c r="A51" s="42"/>
      <c r="B51" s="43" t="s">
        <v>234</v>
      </c>
      <c r="C51" s="43"/>
      <c r="D51" s="46">
        <f>'1.工资福利'!C5</f>
        <v>1</v>
      </c>
      <c r="E51" s="44">
        <v>150</v>
      </c>
      <c r="G51" s="43"/>
      <c r="H51" s="43"/>
      <c r="I51" s="44"/>
      <c r="J51" s="44"/>
      <c r="K51" s="44"/>
      <c r="L51" s="44"/>
      <c r="M51" s="44"/>
      <c r="N51" s="44"/>
      <c r="O51" s="47">
        <f t="shared" si="2"/>
        <v>1800</v>
      </c>
      <c r="P51" s="43"/>
    </row>
    <row r="52" ht="22.5" customHeight="1" spans="1:16">
      <c r="A52" s="70"/>
      <c r="B52" s="70" t="s">
        <v>13</v>
      </c>
      <c r="C52" s="48"/>
      <c r="D52" s="48"/>
      <c r="E52" s="49"/>
      <c r="F52" s="72"/>
      <c r="G52" s="48"/>
      <c r="H52" s="48"/>
      <c r="I52" s="49"/>
      <c r="J52" s="49"/>
      <c r="K52" s="49"/>
      <c r="L52" s="49"/>
      <c r="M52" s="49"/>
      <c r="N52" s="49"/>
      <c r="O52" s="52">
        <f>SUM(O46:O51)</f>
        <v>16200</v>
      </c>
      <c r="P52" s="43"/>
    </row>
    <row r="53" ht="22.5" customHeight="1" spans="1:16">
      <c r="A53" s="42" t="s">
        <v>235</v>
      </c>
      <c r="B53" s="42" t="s">
        <v>236</v>
      </c>
      <c r="C53" s="43"/>
      <c r="D53" s="43"/>
      <c r="E53" s="44"/>
      <c r="F53" s="47"/>
      <c r="G53" s="43"/>
      <c r="H53" s="43"/>
      <c r="I53" s="44"/>
      <c r="J53" s="44"/>
      <c r="K53" s="44"/>
      <c r="L53" s="44"/>
      <c r="M53" s="44"/>
      <c r="N53" s="44"/>
      <c r="O53" s="73"/>
      <c r="P53" s="43"/>
    </row>
    <row r="54" ht="22.5" customHeight="1" spans="1:16">
      <c r="A54" s="42"/>
      <c r="B54" s="42" t="s">
        <v>186</v>
      </c>
      <c r="C54" s="43"/>
      <c r="D54" s="46" t="s">
        <v>62</v>
      </c>
      <c r="E54" s="45" t="s">
        <v>237</v>
      </c>
      <c r="F54" s="85" t="s">
        <v>238</v>
      </c>
      <c r="G54" s="46" t="s">
        <v>239</v>
      </c>
      <c r="H54" s="46" t="s">
        <v>240</v>
      </c>
      <c r="I54" s="44"/>
      <c r="J54" s="44"/>
      <c r="K54" s="44"/>
      <c r="L54" s="44"/>
      <c r="M54" s="44"/>
      <c r="N54" s="44"/>
      <c r="O54" s="73"/>
      <c r="P54" s="43"/>
    </row>
    <row r="55" ht="22.5" customHeight="1" spans="1:16">
      <c r="A55" s="42"/>
      <c r="B55" s="42" t="s">
        <v>241</v>
      </c>
      <c r="C55" s="43"/>
      <c r="D55" s="43">
        <f>'1.工资福利'!C4+'1.工资福利'!C5+'1.工资福利'!C6+'1.工资福利'!C7+'1.工资福利'!C8+'1.工资福利'!C9+'1.工资福利'!C10+'1.工资福利'!C11+'1.工资福利'!C12</f>
        <v>13</v>
      </c>
      <c r="E55" s="44">
        <v>712</v>
      </c>
      <c r="F55" s="47">
        <f>D55*E55</f>
        <v>9256</v>
      </c>
      <c r="G55" s="44">
        <v>477</v>
      </c>
      <c r="H55" s="44">
        <f>D55*G55</f>
        <v>6201</v>
      </c>
      <c r="I55" s="44"/>
      <c r="J55" s="44"/>
      <c r="K55" s="44"/>
      <c r="L55" s="44"/>
      <c r="M55" s="44"/>
      <c r="N55" s="44"/>
      <c r="O55" s="73"/>
      <c r="P55" s="43"/>
    </row>
    <row r="56" ht="22.5" customHeight="1" spans="1:16">
      <c r="A56" s="42"/>
      <c r="B56" s="42" t="s">
        <v>242</v>
      </c>
      <c r="C56" s="43"/>
      <c r="D56" s="43">
        <v>6</v>
      </c>
      <c r="E56" s="44">
        <v>120</v>
      </c>
      <c r="F56" s="47">
        <f>E56*D56</f>
        <v>720</v>
      </c>
      <c r="G56" s="44">
        <v>240</v>
      </c>
      <c r="H56" s="44">
        <f>G56*D56</f>
        <v>1440</v>
      </c>
      <c r="I56" s="44"/>
      <c r="J56" s="44"/>
      <c r="K56" s="44"/>
      <c r="L56" s="44"/>
      <c r="M56" s="44"/>
      <c r="N56" s="44"/>
      <c r="O56" s="73"/>
      <c r="P56" s="43"/>
    </row>
    <row r="57" spans="1:16">
      <c r="A57" s="43"/>
      <c r="B57" s="42" t="s">
        <v>243</v>
      </c>
      <c r="C57" s="43"/>
      <c r="D57" s="43"/>
      <c r="E57" s="43"/>
      <c r="F57" s="44">
        <f>SUM(F55:F56)</f>
        <v>9976</v>
      </c>
      <c r="G57" s="43"/>
      <c r="H57" s="44">
        <f>SUM(H55:H56)</f>
        <v>7641</v>
      </c>
      <c r="I57" s="43"/>
      <c r="J57" s="43"/>
      <c r="K57" s="43"/>
      <c r="L57" s="43"/>
      <c r="M57" s="43"/>
      <c r="N57" s="43"/>
      <c r="O57" s="86">
        <f>F57+H57</f>
        <v>17617</v>
      </c>
      <c r="P57" s="43"/>
    </row>
    <row r="58" ht="22.5" customHeight="1" spans="1:16">
      <c r="A58" s="66" t="s">
        <v>56</v>
      </c>
      <c r="B58" s="66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68">
        <f>SUM(O57+O52+O43+O28+O24+O18+O9+O34)</f>
        <v>84599</v>
      </c>
      <c r="P58" s="43"/>
    </row>
    <row r="59" ht="15"/>
  </sheetData>
  <mergeCells count="2">
    <mergeCell ref="A1:O1"/>
    <mergeCell ref="G2:H2"/>
  </mergeCells>
  <printOptions horizontalCentered="1"/>
  <pageMargins left="0.16" right="0.16" top="0.511805555555556" bottom="0.511805555555556" header="0.51" footer="0.51"/>
  <pageSetup paperSize="9" scale="68" orientation="landscape"/>
  <headerFooter alignWithMargins="0">
    <oddFooter>&amp;C第 &amp;P 页，共 &amp;N 页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6"/>
  <sheetViews>
    <sheetView zoomScale="75" zoomScaleNormal="75" workbookViewId="0">
      <selection activeCell="A1" sqref="A1:P1"/>
    </sheetView>
  </sheetViews>
  <sheetFormatPr defaultColWidth="9" defaultRowHeight="14.25"/>
  <cols>
    <col min="3" max="5" width="13.25" customWidth="1"/>
    <col min="6" max="6" width="12.125" customWidth="1"/>
    <col min="7" max="8" width="14.5" customWidth="1"/>
    <col min="9" max="10" width="13.25" customWidth="1"/>
    <col min="11" max="11" width="12" customWidth="1"/>
    <col min="12" max="14" width="13.25" customWidth="1"/>
    <col min="15" max="15" width="12.75" customWidth="1"/>
    <col min="16" max="16" width="17.5" customWidth="1"/>
  </cols>
  <sheetData>
    <row r="1" ht="25.5" spans="1:16">
      <c r="A1" s="21" t="s">
        <v>244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ht="22.5" customHeight="1" spans="1:16">
      <c r="A2" s="62" t="s">
        <v>36</v>
      </c>
      <c r="B2" s="62"/>
      <c r="C2" s="62"/>
      <c r="D2" s="62"/>
      <c r="E2" s="62"/>
      <c r="F2" s="1"/>
      <c r="G2" s="1"/>
      <c r="H2" s="1"/>
      <c r="I2" s="1"/>
    </row>
    <row r="3" ht="22.5" customHeight="1" spans="1:16">
      <c r="A3" s="27" t="s">
        <v>245</v>
      </c>
      <c r="B3" s="27"/>
      <c r="C3" s="27"/>
      <c r="D3" s="27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60"/>
    </row>
    <row r="4" ht="22.5" customHeight="1" spans="1:16">
      <c r="A4" s="22"/>
      <c r="B4" s="53" t="s">
        <v>194</v>
      </c>
      <c r="C4" s="22"/>
      <c r="D4" s="22" t="s">
        <v>246</v>
      </c>
      <c r="E4" s="32" t="s">
        <v>165</v>
      </c>
      <c r="F4" s="32" t="s">
        <v>247</v>
      </c>
      <c r="G4" s="32" t="s">
        <v>50</v>
      </c>
      <c r="H4" s="32" t="s">
        <v>197</v>
      </c>
      <c r="I4" s="53"/>
      <c r="J4" s="22"/>
      <c r="K4" s="53"/>
      <c r="L4" s="53"/>
      <c r="M4" s="53"/>
      <c r="N4" s="53"/>
      <c r="O4" s="53"/>
      <c r="P4" s="33"/>
    </row>
    <row r="5" ht="22.5" customHeight="1" spans="1:16">
      <c r="A5" s="22"/>
      <c r="B5" s="53" t="s">
        <v>248</v>
      </c>
      <c r="C5" s="22"/>
      <c r="D5" s="53">
        <v>200000</v>
      </c>
      <c r="E5" s="32">
        <v>36</v>
      </c>
      <c r="F5" s="32">
        <f>D5/E5</f>
        <v>5555.55555555556</v>
      </c>
      <c r="G5" s="53">
        <f>F5*12</f>
        <v>66666.6666666667</v>
      </c>
      <c r="H5" s="22"/>
      <c r="I5" s="53"/>
      <c r="J5" s="22"/>
      <c r="K5" s="53"/>
      <c r="L5" s="53"/>
      <c r="M5" s="53"/>
      <c r="N5" s="53"/>
      <c r="O5" s="53"/>
      <c r="P5" s="33"/>
    </row>
    <row r="6" ht="22.5" customHeight="1" spans="1:16">
      <c r="A6" s="22"/>
      <c r="B6" s="53" t="s">
        <v>249</v>
      </c>
      <c r="C6" s="22"/>
      <c r="D6" s="22"/>
      <c r="E6" s="32">
        <v>0</v>
      </c>
      <c r="F6" s="32">
        <v>0</v>
      </c>
      <c r="G6" s="53">
        <v>0</v>
      </c>
      <c r="H6" s="53"/>
      <c r="I6" s="53"/>
      <c r="J6" s="22"/>
      <c r="K6" s="53"/>
      <c r="L6" s="53"/>
      <c r="M6" s="53"/>
      <c r="N6" s="53"/>
      <c r="O6" s="53"/>
      <c r="P6" s="33"/>
    </row>
    <row r="7" ht="22.5" customHeight="1" spans="1:16">
      <c r="A7" s="36"/>
      <c r="B7" s="35" t="s">
        <v>13</v>
      </c>
      <c r="C7" s="36"/>
      <c r="D7" s="36"/>
      <c r="E7" s="38"/>
      <c r="F7" s="38"/>
      <c r="G7" s="39">
        <f>SUM(G5:G6)</f>
        <v>66666.6666666667</v>
      </c>
      <c r="H7" s="39"/>
      <c r="I7" s="39"/>
      <c r="J7" s="39"/>
      <c r="K7" s="39"/>
      <c r="L7" s="39"/>
      <c r="M7" s="39"/>
      <c r="N7" s="39"/>
      <c r="O7" s="39"/>
      <c r="P7" s="41">
        <f>SUM(G5:G6)</f>
        <v>66666.6666666667</v>
      </c>
    </row>
    <row r="8" ht="22.5" customHeight="1" spans="1:16">
      <c r="A8" s="22"/>
      <c r="B8" s="22"/>
      <c r="C8" s="53"/>
      <c r="D8" s="53"/>
      <c r="E8" s="32"/>
      <c r="F8" s="32"/>
      <c r="G8" s="53"/>
      <c r="H8" s="53"/>
      <c r="I8" s="53"/>
      <c r="J8" s="53"/>
      <c r="K8" s="53"/>
      <c r="L8" s="53"/>
      <c r="M8" s="53"/>
      <c r="N8" s="53"/>
      <c r="O8" s="53"/>
      <c r="P8" s="33"/>
    </row>
    <row r="9" ht="22.5" customHeight="1" spans="1:16">
      <c r="A9" s="26" t="s">
        <v>56</v>
      </c>
      <c r="B9" s="26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30">
        <f>SUM(P7)</f>
        <v>66666.6666666667</v>
      </c>
    </row>
    <row r="10" ht="22.5" customHeight="1" spans="1:16">
      <c r="A10" s="22"/>
      <c r="B10" s="22"/>
      <c r="C10" s="53"/>
      <c r="D10" s="53"/>
      <c r="E10" s="32"/>
      <c r="F10" s="32"/>
      <c r="G10" s="53"/>
      <c r="H10" s="53"/>
      <c r="I10" s="53"/>
      <c r="J10" s="53"/>
      <c r="K10" s="53"/>
      <c r="L10" s="53"/>
      <c r="M10" s="53"/>
      <c r="N10" s="53"/>
      <c r="O10" s="53"/>
      <c r="P10" s="33"/>
    </row>
    <row r="11" ht="22.5" customHeight="1" spans="1:16">
      <c r="C11" s="53"/>
      <c r="D11" s="53"/>
      <c r="E11" s="32"/>
      <c r="F11" s="32"/>
      <c r="G11" s="53"/>
      <c r="H11" s="53"/>
      <c r="I11" s="53"/>
      <c r="J11" s="53"/>
      <c r="K11" s="53"/>
      <c r="L11" s="53"/>
      <c r="M11" s="53"/>
      <c r="N11" s="53"/>
      <c r="O11" s="53"/>
      <c r="P11" s="55"/>
    </row>
    <row r="12" ht="22.5" customHeight="1" spans="1:16">
      <c r="C12" s="53"/>
      <c r="D12" s="53"/>
      <c r="E12" s="32"/>
      <c r="F12" s="32"/>
      <c r="G12" s="53"/>
      <c r="H12" s="53"/>
      <c r="I12" s="53"/>
      <c r="J12" s="53"/>
      <c r="K12" s="53"/>
      <c r="L12" s="53"/>
      <c r="M12" s="53"/>
      <c r="N12" s="53"/>
      <c r="O12" s="53"/>
      <c r="P12" s="55"/>
    </row>
    <row r="13" ht="22.5" customHeight="1" spans="1:16">
      <c r="C13" s="53"/>
      <c r="D13" s="53"/>
      <c r="E13" s="32"/>
      <c r="F13" s="32"/>
      <c r="G13" s="53"/>
      <c r="H13" s="53"/>
      <c r="I13" s="53"/>
      <c r="J13" s="53"/>
      <c r="K13" s="53"/>
      <c r="L13" s="53"/>
      <c r="M13" s="53"/>
      <c r="N13" s="53"/>
      <c r="O13" s="53"/>
      <c r="P13" s="55"/>
    </row>
    <row r="14" ht="22.5" customHeight="1" spans="1:16">
      <c r="C14" s="53"/>
      <c r="D14" s="53"/>
      <c r="E14" s="32"/>
      <c r="F14" s="32"/>
      <c r="G14" s="53"/>
      <c r="H14" s="53"/>
      <c r="I14" s="53"/>
      <c r="J14" s="53"/>
      <c r="K14" s="53"/>
      <c r="L14" s="53"/>
      <c r="M14" s="53"/>
      <c r="N14" s="53"/>
      <c r="O14" s="53"/>
      <c r="P14" s="55"/>
    </row>
    <row r="15" ht="22.5" customHeight="1" spans="1:16">
      <c r="C15" s="53"/>
      <c r="D15" s="53"/>
      <c r="E15" s="32"/>
      <c r="F15" s="32"/>
      <c r="G15" s="53"/>
      <c r="H15" s="53"/>
      <c r="I15" s="53"/>
      <c r="J15" s="53"/>
      <c r="K15" s="53"/>
      <c r="L15" s="53"/>
      <c r="M15" s="53"/>
      <c r="N15" s="53"/>
      <c r="O15" s="53"/>
      <c r="P15" s="55"/>
    </row>
    <row r="16" ht="22.5" customHeight="1" spans="1:16">
      <c r="C16" s="53"/>
      <c r="D16" s="53"/>
      <c r="E16" s="32"/>
      <c r="F16" s="32"/>
      <c r="G16" s="53"/>
      <c r="H16" s="53"/>
      <c r="I16" s="53"/>
      <c r="J16" s="53"/>
      <c r="K16" s="53"/>
      <c r="L16" s="53"/>
      <c r="M16" s="53"/>
      <c r="N16" s="53"/>
      <c r="O16" s="53"/>
      <c r="P16" s="55"/>
    </row>
    <row r="17" ht="22.5" customHeight="1" spans="1:16">
      <c r="C17" s="53"/>
      <c r="D17" s="53"/>
      <c r="E17" s="32"/>
      <c r="F17" s="32"/>
      <c r="G17" s="53"/>
      <c r="H17" s="53"/>
      <c r="I17" s="53"/>
      <c r="J17" s="53"/>
      <c r="K17" s="53"/>
      <c r="L17" s="53"/>
      <c r="M17" s="53"/>
      <c r="N17" s="53"/>
      <c r="O17" s="53"/>
      <c r="P17" s="55"/>
    </row>
    <row r="18" ht="22.5" customHeight="1" spans="1:16">
      <c r="C18" s="53"/>
      <c r="D18" s="53"/>
      <c r="E18" s="32"/>
      <c r="F18" s="32"/>
      <c r="G18" s="53"/>
      <c r="H18" s="53"/>
      <c r="I18" s="53"/>
      <c r="J18" s="53"/>
      <c r="K18" s="53"/>
      <c r="L18" s="53"/>
      <c r="M18" s="53"/>
      <c r="N18" s="53"/>
      <c r="O18" s="53"/>
      <c r="P18" s="55"/>
    </row>
    <row r="19" ht="22.5" customHeight="1" spans="1:16">
      <c r="C19" s="53"/>
      <c r="D19" s="53"/>
      <c r="E19" s="32"/>
      <c r="F19" s="32"/>
      <c r="G19" s="53"/>
      <c r="H19" s="53"/>
      <c r="I19" s="53"/>
      <c r="J19" s="53"/>
      <c r="K19" s="53"/>
      <c r="L19" s="53"/>
      <c r="M19" s="53"/>
      <c r="N19" s="53"/>
      <c r="O19" s="53"/>
      <c r="P19" s="55"/>
    </row>
    <row r="20" ht="22.5" customHeight="1" spans="1:16">
      <c r="C20" s="53"/>
      <c r="D20" s="53"/>
      <c r="E20" s="32"/>
      <c r="F20" s="32"/>
      <c r="G20" s="53"/>
      <c r="H20" s="53"/>
      <c r="I20" s="53"/>
      <c r="J20" s="53"/>
      <c r="K20" s="53"/>
      <c r="L20" s="53"/>
      <c r="M20" s="53"/>
      <c r="N20" s="53"/>
      <c r="O20" s="53"/>
      <c r="P20" s="55"/>
    </row>
    <row r="21" ht="22.5" customHeight="1" spans="1:16">
      <c r="C21" s="53"/>
      <c r="D21" s="53"/>
      <c r="E21" s="32"/>
      <c r="F21" s="32"/>
      <c r="G21" s="53"/>
      <c r="H21" s="53"/>
      <c r="I21" s="53"/>
      <c r="J21" s="53"/>
      <c r="K21" s="53"/>
      <c r="L21" s="53"/>
      <c r="M21" s="53"/>
      <c r="N21" s="53"/>
      <c r="O21" s="53"/>
      <c r="P21" s="55"/>
    </row>
    <row r="22" spans="1:16">
      <c r="G22" s="53"/>
      <c r="P22" s="56"/>
    </row>
    <row r="23" spans="1:16">
      <c r="A23" s="57"/>
      <c r="E23" s="1"/>
      <c r="F23" s="1"/>
      <c r="G23" s="53"/>
      <c r="P23" s="56"/>
    </row>
    <row r="24" spans="1:16">
      <c r="G24" s="53"/>
      <c r="H24" s="55"/>
      <c r="I24" s="55"/>
      <c r="P24" s="56"/>
    </row>
    <row r="25" spans="1:16">
      <c r="F25" s="53"/>
      <c r="G25" s="53"/>
      <c r="H25" s="55"/>
      <c r="I25" s="55"/>
      <c r="P25" s="56"/>
    </row>
    <row r="26" spans="1:16">
      <c r="F26" s="53"/>
      <c r="G26" s="53"/>
      <c r="H26" s="55"/>
      <c r="I26" s="55"/>
      <c r="P26" s="56"/>
    </row>
    <row r="27" spans="1:16">
      <c r="F27" s="53"/>
      <c r="G27" s="53"/>
      <c r="H27" s="55"/>
      <c r="I27" s="55"/>
      <c r="P27" s="56"/>
    </row>
    <row r="28" spans="1:16">
      <c r="B28" s="57"/>
      <c r="G28" s="53"/>
      <c r="P28" s="56"/>
    </row>
    <row r="29" spans="1:16">
      <c r="G29" s="53"/>
      <c r="H29" s="55"/>
      <c r="I29" s="55"/>
      <c r="P29" s="56"/>
    </row>
    <row r="30" spans="1:16">
      <c r="A30" s="57"/>
      <c r="G30" s="53"/>
      <c r="H30" s="58"/>
      <c r="I30" s="58"/>
      <c r="P30" s="56"/>
    </row>
    <row r="31" spans="1:16">
      <c r="G31" s="53"/>
      <c r="H31" s="55"/>
      <c r="I31" s="55"/>
      <c r="P31" s="56"/>
    </row>
    <row r="32" spans="1:16">
      <c r="G32" s="53"/>
      <c r="H32" s="55"/>
      <c r="I32" s="55"/>
      <c r="P32" s="56"/>
    </row>
    <row r="33" spans="1:16">
      <c r="G33" s="53"/>
      <c r="H33" s="55"/>
      <c r="I33" s="55"/>
      <c r="P33" s="56"/>
    </row>
    <row r="34" spans="1:16">
      <c r="G34" s="53"/>
      <c r="H34" s="55"/>
      <c r="I34" s="55"/>
      <c r="P34" s="56"/>
    </row>
    <row r="35" spans="1:16">
      <c r="G35" s="53"/>
      <c r="H35" s="55"/>
      <c r="I35" s="55"/>
      <c r="P35" s="56"/>
    </row>
    <row r="36" spans="1:16">
      <c r="G36" s="53"/>
      <c r="H36" s="55"/>
      <c r="I36" s="55"/>
      <c r="P36" s="56"/>
    </row>
    <row r="37" spans="1:16">
      <c r="G37" s="53"/>
      <c r="H37" s="55"/>
      <c r="I37" s="55"/>
      <c r="P37" s="56"/>
    </row>
    <row r="38" spans="1:16">
      <c r="G38" s="53"/>
      <c r="H38" s="55"/>
      <c r="I38" s="55"/>
      <c r="P38" s="56"/>
    </row>
    <row r="39" spans="1:16">
      <c r="B39" s="57"/>
      <c r="G39" s="53"/>
      <c r="H39" s="55"/>
      <c r="I39" s="55"/>
      <c r="P39" s="56"/>
    </row>
    <row r="40" spans="1:16">
      <c r="G40" s="53"/>
      <c r="H40" s="55"/>
      <c r="I40" s="55"/>
      <c r="P40" s="56"/>
    </row>
    <row r="41" spans="1:16">
      <c r="A41" s="57"/>
      <c r="G41" s="58"/>
      <c r="H41" s="58"/>
      <c r="P41" s="56"/>
    </row>
    <row r="42" spans="1:16">
      <c r="H42" s="55"/>
      <c r="J42" s="55"/>
      <c r="P42" s="56"/>
    </row>
    <row r="43" spans="1:16">
      <c r="H43" s="55"/>
      <c r="J43" s="55"/>
      <c r="P43" s="56"/>
    </row>
    <row r="44" spans="1:16">
      <c r="H44" s="55"/>
      <c r="J44" s="55"/>
      <c r="P44" s="56"/>
    </row>
    <row r="45" spans="1:16">
      <c r="H45" s="55"/>
      <c r="J45" s="55"/>
      <c r="P45" s="56"/>
    </row>
    <row r="46" spans="1:16">
      <c r="H46" s="55"/>
      <c r="J46" s="55"/>
      <c r="P46" s="56"/>
    </row>
    <row r="47" spans="1:16">
      <c r="H47" s="55"/>
      <c r="J47" s="55"/>
      <c r="P47" s="56"/>
    </row>
    <row r="48" spans="1:16">
      <c r="H48" s="55"/>
      <c r="J48" s="55"/>
      <c r="P48" s="56"/>
    </row>
    <row r="49" spans="1:16">
      <c r="B49" s="57"/>
      <c r="G49" s="53"/>
      <c r="H49" s="55"/>
      <c r="I49" s="55"/>
      <c r="P49" s="56"/>
    </row>
    <row r="50" spans="1:16">
      <c r="G50" s="53"/>
      <c r="H50" s="55"/>
      <c r="I50" s="55"/>
      <c r="P50" s="56"/>
    </row>
    <row r="51" spans="1:16">
      <c r="A51" s="57"/>
      <c r="G51" s="53"/>
      <c r="H51" s="55"/>
      <c r="I51" s="55"/>
      <c r="P51" s="56"/>
    </row>
    <row r="52" spans="1:16">
      <c r="G52" s="53"/>
      <c r="H52" s="55"/>
      <c r="I52" s="55"/>
      <c r="P52" s="56"/>
    </row>
    <row r="53" spans="1:16">
      <c r="G53" s="53"/>
      <c r="H53" s="55"/>
      <c r="I53" s="55"/>
      <c r="P53" s="56"/>
    </row>
    <row r="54" spans="1:16">
      <c r="G54" s="53"/>
      <c r="H54" s="55"/>
      <c r="I54" s="55"/>
      <c r="P54" s="56"/>
    </row>
    <row r="55" spans="1:16">
      <c r="G55" s="53"/>
      <c r="H55" s="55"/>
      <c r="I55" s="55"/>
      <c r="P55" s="56"/>
    </row>
    <row r="56" spans="1:16">
      <c r="G56" s="53"/>
      <c r="H56" s="55"/>
      <c r="I56" s="55"/>
      <c r="P56" s="56"/>
    </row>
    <row r="57" spans="1:16">
      <c r="G57" s="53"/>
      <c r="H57" s="55"/>
      <c r="I57" s="55"/>
      <c r="P57" s="56"/>
    </row>
    <row r="58" spans="1:16">
      <c r="B58" s="57"/>
      <c r="G58" s="53"/>
      <c r="H58" s="55"/>
      <c r="I58" s="55"/>
      <c r="P58" s="56"/>
    </row>
    <row r="59" spans="1:16">
      <c r="G59" s="53"/>
      <c r="H59" s="55"/>
      <c r="I59" s="55"/>
      <c r="P59" s="56"/>
    </row>
    <row r="60" spans="1:16">
      <c r="A60" s="57"/>
      <c r="G60" s="53"/>
      <c r="H60" s="55"/>
      <c r="I60" s="55"/>
      <c r="P60" s="56"/>
    </row>
    <row r="61" spans="1:16">
      <c r="G61" s="53"/>
      <c r="H61" s="55"/>
      <c r="I61" s="55"/>
      <c r="P61" s="56"/>
    </row>
    <row r="62" spans="1:16">
      <c r="G62" s="53"/>
      <c r="H62" s="55"/>
      <c r="I62" s="55"/>
      <c r="P62" s="56"/>
    </row>
    <row r="63" spans="1:16">
      <c r="B63" s="57"/>
      <c r="G63" s="53"/>
      <c r="H63" s="55"/>
      <c r="I63" s="55"/>
      <c r="P63" s="56"/>
    </row>
    <row r="64" spans="1:16">
      <c r="G64" s="53"/>
      <c r="H64" s="55"/>
      <c r="I64" s="55"/>
      <c r="P64" s="56"/>
    </row>
    <row r="65" spans="7:16">
      <c r="G65" s="53"/>
      <c r="H65" s="55"/>
      <c r="I65" s="55"/>
      <c r="P65" s="56"/>
    </row>
    <row r="66" spans="7:16">
      <c r="G66" s="53"/>
      <c r="H66" s="55"/>
      <c r="I66" s="55"/>
      <c r="P66" s="56"/>
    </row>
    <row r="67" spans="7:16">
      <c r="G67" s="53"/>
      <c r="H67" s="55"/>
      <c r="I67" s="55"/>
      <c r="P67" s="56"/>
    </row>
    <row r="68" spans="7:16">
      <c r="G68" s="53"/>
      <c r="H68" s="55"/>
      <c r="I68" s="55"/>
      <c r="P68" s="56"/>
    </row>
    <row r="69" spans="7:16">
      <c r="G69" s="53"/>
      <c r="H69" s="55"/>
      <c r="I69" s="55"/>
      <c r="P69" s="56"/>
    </row>
    <row r="70" spans="7:16">
      <c r="G70" s="53"/>
      <c r="H70" s="55"/>
      <c r="I70" s="55"/>
      <c r="P70" s="56"/>
    </row>
    <row r="71" spans="7:16">
      <c r="G71" s="53"/>
      <c r="H71" s="55"/>
      <c r="I71" s="55"/>
      <c r="P71" s="56"/>
    </row>
    <row r="72" spans="7:16">
      <c r="G72" s="53"/>
      <c r="H72" s="55"/>
      <c r="I72" s="55"/>
      <c r="P72" s="56"/>
    </row>
    <row r="73" spans="7:16">
      <c r="G73" s="53"/>
      <c r="H73" s="55"/>
      <c r="I73" s="55"/>
      <c r="P73" s="56"/>
    </row>
    <row r="74" spans="7:16">
      <c r="G74" s="53"/>
      <c r="H74" s="55"/>
      <c r="I74" s="55"/>
      <c r="P74" s="56"/>
    </row>
    <row r="75" spans="7:16">
      <c r="G75" s="53"/>
      <c r="H75" s="55"/>
      <c r="I75" s="55"/>
      <c r="P75" s="56"/>
    </row>
    <row r="76" spans="7:16">
      <c r="G76" s="53"/>
      <c r="H76" s="55"/>
      <c r="I76" s="55"/>
      <c r="P76" s="56"/>
    </row>
  </sheetData>
  <mergeCells count="2">
    <mergeCell ref="A1:P1"/>
    <mergeCell ref="H2:I2"/>
  </mergeCells>
  <printOptions horizontalCentered="1"/>
  <pageMargins left="0.16" right="0.16" top="0.98" bottom="0.98" header="0.51" footer="0.51"/>
  <pageSetup paperSize="9" scale="65" orientation="landscape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7"/>
  <sheetViews>
    <sheetView zoomScale="75" zoomScaleNormal="75" workbookViewId="0">
      <selection activeCell="A1" sqref="A1:O1"/>
    </sheetView>
  </sheetViews>
  <sheetFormatPr defaultColWidth="9" defaultRowHeight="14.25"/>
  <cols>
    <col min="2" max="2" width="15.5" customWidth="1"/>
    <col min="3" max="3" width="13.25" customWidth="1"/>
    <col min="4" max="4" width="19.125" customWidth="1"/>
    <col min="5" max="5" width="12.125" customWidth="1"/>
    <col min="6" max="7" width="14.5" customWidth="1"/>
    <col min="8" max="8" width="11.75" customWidth="1"/>
    <col min="9" max="9" width="9.75" customWidth="1"/>
    <col min="10" max="10" width="13.25" customWidth="1"/>
    <col min="11" max="11" width="8.25" customWidth="1"/>
    <col min="12" max="13" width="13.25" customWidth="1"/>
    <col min="14" max="14" width="12.75" customWidth="1"/>
    <col min="15" max="15" width="17.5" customWidth="1"/>
  </cols>
  <sheetData>
    <row r="1" ht="25.5" spans="1:16">
      <c r="A1" s="21" t="s">
        <v>250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ht="22.5" customHeight="1" spans="1:16">
      <c r="A2" s="59" t="s">
        <v>36</v>
      </c>
      <c r="B2" s="59"/>
      <c r="C2" s="24"/>
      <c r="D2" s="24"/>
      <c r="E2" s="25"/>
      <c r="F2" s="25"/>
      <c r="G2" s="25"/>
      <c r="H2" s="25"/>
      <c r="I2" s="22"/>
      <c r="J2" s="22"/>
      <c r="K2" s="22"/>
      <c r="L2" s="22"/>
      <c r="M2" s="22"/>
      <c r="N2" s="22"/>
      <c r="O2" s="22"/>
      <c r="P2" s="22"/>
    </row>
    <row r="3" ht="22.5" customHeight="1" spans="1:16">
      <c r="A3" s="26" t="s">
        <v>251</v>
      </c>
      <c r="B3" s="27"/>
      <c r="C3" s="27"/>
      <c r="D3" s="27"/>
      <c r="E3" s="27"/>
      <c r="F3" s="27"/>
      <c r="G3" s="27"/>
      <c r="H3" s="27"/>
      <c r="I3" s="27"/>
      <c r="J3" s="54"/>
      <c r="K3" s="54"/>
      <c r="L3" s="54"/>
      <c r="M3" s="54"/>
      <c r="N3" s="54"/>
      <c r="O3" s="60"/>
      <c r="P3" s="22"/>
    </row>
    <row r="4" ht="22.5" customHeight="1" spans="1:16">
      <c r="A4" s="22"/>
      <c r="B4" s="53" t="s">
        <v>194</v>
      </c>
      <c r="C4" s="22"/>
      <c r="D4" s="32"/>
      <c r="E4" s="32"/>
      <c r="F4" s="32"/>
      <c r="G4" s="32"/>
      <c r="H4" s="53"/>
      <c r="I4" s="22"/>
      <c r="J4" s="53"/>
      <c r="K4" s="53"/>
      <c r="L4" s="53"/>
      <c r="M4" s="53"/>
      <c r="N4" s="53"/>
      <c r="O4" s="33"/>
      <c r="P4" s="22"/>
    </row>
    <row r="5" ht="22.5" customHeight="1" spans="1:16">
      <c r="A5" s="22"/>
      <c r="B5" s="53" t="s">
        <v>252</v>
      </c>
      <c r="C5" s="22"/>
      <c r="D5" s="32"/>
      <c r="E5" s="61"/>
      <c r="F5" s="53"/>
      <c r="G5" s="53"/>
      <c r="H5" s="53"/>
      <c r="I5" s="22"/>
      <c r="J5" s="53"/>
      <c r="K5" s="53"/>
      <c r="L5" s="53"/>
      <c r="M5" s="53"/>
      <c r="N5" s="53"/>
      <c r="O5" s="33"/>
      <c r="P5" s="22"/>
    </row>
    <row r="6" ht="22.5" customHeight="1" spans="1:16">
      <c r="A6" s="22"/>
      <c r="B6" s="53" t="s">
        <v>253</v>
      </c>
      <c r="C6" s="22"/>
      <c r="D6" s="32"/>
      <c r="E6" s="61"/>
      <c r="F6" s="53"/>
      <c r="G6" s="53"/>
      <c r="H6" s="53"/>
      <c r="I6" s="22"/>
      <c r="J6" s="53"/>
      <c r="K6" s="53"/>
      <c r="L6" s="53"/>
      <c r="M6" s="53"/>
      <c r="N6" s="53"/>
      <c r="O6" s="33"/>
      <c r="P6" s="22"/>
    </row>
    <row r="7" ht="22.5" customHeight="1" spans="1:16">
      <c r="A7" s="22"/>
      <c r="B7" s="53" t="s">
        <v>254</v>
      </c>
      <c r="C7" s="22"/>
      <c r="D7" s="32"/>
      <c r="E7" s="61"/>
      <c r="F7" s="53"/>
      <c r="G7" s="53"/>
      <c r="H7" s="53"/>
      <c r="I7" s="22"/>
      <c r="J7" s="53"/>
      <c r="K7" s="53"/>
      <c r="L7" s="53"/>
      <c r="M7" s="53"/>
      <c r="N7" s="53"/>
      <c r="O7" s="33"/>
      <c r="P7" s="22"/>
    </row>
    <row r="8" ht="22.5" customHeight="1" spans="1:16">
      <c r="A8" s="22"/>
      <c r="B8" s="53" t="s">
        <v>255</v>
      </c>
      <c r="C8" s="22"/>
      <c r="D8" s="32"/>
      <c r="E8" s="61"/>
      <c r="F8" s="53"/>
      <c r="G8" s="53"/>
      <c r="H8" s="53"/>
      <c r="I8" s="22"/>
      <c r="J8" s="53"/>
      <c r="K8" s="53"/>
      <c r="L8" s="53"/>
      <c r="M8" s="53"/>
      <c r="N8" s="53"/>
      <c r="O8" s="33">
        <v>60000</v>
      </c>
      <c r="P8" s="22"/>
    </row>
    <row r="9" ht="22.5" customHeight="1" spans="1:16">
      <c r="A9" s="22"/>
      <c r="B9" s="22"/>
      <c r="C9" s="53"/>
      <c r="D9" s="32"/>
      <c r="E9" s="32"/>
      <c r="F9" s="53"/>
      <c r="G9" s="53"/>
      <c r="H9" s="53"/>
      <c r="I9" s="53"/>
      <c r="J9" s="53"/>
      <c r="K9" s="53"/>
      <c r="L9" s="53"/>
      <c r="M9" s="53"/>
      <c r="N9" s="53"/>
      <c r="O9" s="33"/>
      <c r="P9" s="22"/>
    </row>
    <row r="10" ht="22.5" customHeight="1" spans="1:16">
      <c r="A10" s="26" t="s">
        <v>56</v>
      </c>
      <c r="B10" s="26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30">
        <f>SUM(O4:O9)</f>
        <v>60000</v>
      </c>
      <c r="P10" s="22"/>
    </row>
    <row r="11" ht="22.5" customHeight="1" spans="1:16">
      <c r="C11" s="53"/>
      <c r="D11" s="32"/>
      <c r="E11" s="32"/>
      <c r="F11" s="53"/>
      <c r="G11" s="53"/>
      <c r="H11" s="53"/>
      <c r="I11" s="53"/>
      <c r="J11" s="53"/>
      <c r="K11" s="53"/>
      <c r="L11" s="53"/>
      <c r="M11" s="53"/>
      <c r="N11" s="53"/>
      <c r="O11" s="55"/>
    </row>
    <row r="12" ht="22.5" customHeight="1" spans="1:16">
      <c r="C12" s="53"/>
      <c r="D12" s="32"/>
      <c r="E12" s="32"/>
      <c r="F12" s="53"/>
      <c r="G12" s="53"/>
      <c r="H12" s="53"/>
      <c r="I12" s="53"/>
      <c r="J12" s="53"/>
      <c r="K12" s="53"/>
      <c r="L12" s="53"/>
      <c r="M12" s="53"/>
      <c r="N12" s="53"/>
      <c r="O12" s="55"/>
    </row>
    <row r="13" ht="22.5" customHeight="1" spans="1:16">
      <c r="C13" s="53"/>
      <c r="D13" s="32"/>
      <c r="E13" s="32"/>
      <c r="F13" s="53"/>
      <c r="G13" s="53"/>
      <c r="H13" s="53"/>
      <c r="I13" s="53"/>
      <c r="J13" s="53"/>
      <c r="K13" s="53"/>
      <c r="L13" s="53"/>
      <c r="M13" s="53"/>
      <c r="N13" s="53"/>
      <c r="O13" s="55"/>
    </row>
    <row r="14" ht="22.5" customHeight="1" spans="1:16">
      <c r="C14" s="53"/>
      <c r="D14" s="32"/>
      <c r="E14" s="32"/>
      <c r="F14" s="53"/>
      <c r="G14" s="53"/>
      <c r="H14" s="53"/>
      <c r="I14" s="53"/>
      <c r="J14" s="53"/>
      <c r="K14" s="53"/>
      <c r="L14" s="53"/>
      <c r="M14" s="53"/>
      <c r="N14" s="53"/>
      <c r="O14" s="55"/>
    </row>
    <row r="15" ht="22.5" customHeight="1" spans="1:16">
      <c r="C15" s="53"/>
      <c r="D15" s="32"/>
      <c r="E15" s="32"/>
      <c r="F15" s="53"/>
      <c r="G15" s="53"/>
      <c r="H15" s="53"/>
      <c r="I15" s="53"/>
      <c r="J15" s="53"/>
      <c r="K15" s="53"/>
      <c r="L15" s="53"/>
      <c r="M15" s="53"/>
      <c r="N15" s="53"/>
      <c r="O15" s="55"/>
    </row>
    <row r="16" ht="22.5" customHeight="1" spans="1:16">
      <c r="C16" s="53"/>
      <c r="D16" s="32"/>
      <c r="E16" s="32"/>
      <c r="F16" s="53"/>
      <c r="G16" s="53"/>
      <c r="H16" s="53"/>
      <c r="I16" s="53"/>
      <c r="J16" s="53"/>
      <c r="K16" s="53"/>
      <c r="L16" s="53"/>
      <c r="M16" s="53"/>
      <c r="N16" s="53"/>
      <c r="O16" s="55"/>
    </row>
    <row r="17" ht="22.5" customHeight="1" spans="1:15">
      <c r="C17" s="53"/>
      <c r="D17" s="32"/>
      <c r="E17" s="32"/>
      <c r="F17" s="53"/>
      <c r="G17" s="53"/>
      <c r="H17" s="53"/>
      <c r="I17" s="53"/>
      <c r="J17" s="53"/>
      <c r="K17" s="53"/>
      <c r="L17" s="53"/>
      <c r="M17" s="53"/>
      <c r="N17" s="53"/>
      <c r="O17" s="55"/>
    </row>
    <row r="18" ht="22.5" customHeight="1" spans="1:15">
      <c r="C18" s="53"/>
      <c r="D18" s="32"/>
      <c r="E18" s="32"/>
      <c r="F18" s="53"/>
      <c r="G18" s="53"/>
      <c r="H18" s="53"/>
      <c r="I18" s="53"/>
      <c r="J18" s="53"/>
      <c r="K18" s="53"/>
      <c r="L18" s="53"/>
      <c r="M18" s="53"/>
      <c r="N18" s="53"/>
      <c r="O18" s="55"/>
    </row>
    <row r="19" ht="22.5" customHeight="1" spans="1:15">
      <c r="C19" s="53"/>
      <c r="D19" s="32"/>
      <c r="E19" s="32"/>
      <c r="F19" s="53"/>
      <c r="G19" s="53"/>
      <c r="H19" s="53"/>
      <c r="I19" s="53"/>
      <c r="J19" s="53"/>
      <c r="K19" s="53"/>
      <c r="L19" s="53"/>
      <c r="M19" s="53"/>
      <c r="N19" s="53"/>
      <c r="O19" s="55"/>
    </row>
    <row r="20" ht="22.5" customHeight="1" spans="1:15">
      <c r="C20" s="53"/>
      <c r="D20" s="32"/>
      <c r="E20" s="32"/>
      <c r="F20" s="53"/>
      <c r="G20" s="53"/>
      <c r="H20" s="53"/>
      <c r="I20" s="53"/>
      <c r="J20" s="53"/>
      <c r="K20" s="53"/>
      <c r="L20" s="53"/>
      <c r="M20" s="53"/>
      <c r="N20" s="53"/>
      <c r="O20" s="55"/>
    </row>
    <row r="21" ht="22.5" customHeight="1" spans="1:15">
      <c r="C21" s="53"/>
      <c r="D21" s="32"/>
      <c r="E21" s="32"/>
      <c r="F21" s="53"/>
      <c r="G21" s="53"/>
      <c r="H21" s="53"/>
      <c r="I21" s="53"/>
      <c r="J21" s="53"/>
      <c r="K21" s="53"/>
      <c r="L21" s="53"/>
      <c r="M21" s="53"/>
      <c r="N21" s="53"/>
      <c r="O21" s="55"/>
    </row>
    <row r="22" ht="22.5" customHeight="1" spans="1:15">
      <c r="C22" s="53"/>
      <c r="D22" s="32"/>
      <c r="E22" s="32"/>
      <c r="F22" s="53"/>
      <c r="G22" s="53"/>
      <c r="H22" s="53"/>
      <c r="I22" s="53"/>
      <c r="J22" s="53"/>
      <c r="K22" s="53"/>
      <c r="L22" s="53"/>
      <c r="M22" s="53"/>
      <c r="N22" s="53"/>
      <c r="O22" s="55"/>
    </row>
    <row r="23" spans="1:15">
      <c r="F23" s="53"/>
      <c r="O23" s="56"/>
    </row>
    <row r="24" spans="1:15">
      <c r="A24" s="57"/>
      <c r="D24" s="1"/>
      <c r="E24" s="1"/>
      <c r="F24" s="53"/>
      <c r="O24" s="56"/>
    </row>
    <row r="25" spans="1:15">
      <c r="F25" s="53"/>
      <c r="G25" s="55"/>
      <c r="H25" s="55"/>
      <c r="O25" s="56"/>
    </row>
    <row r="26" spans="1:15">
      <c r="E26" s="53"/>
      <c r="F26" s="53"/>
      <c r="G26" s="55"/>
      <c r="H26" s="55"/>
      <c r="O26" s="56"/>
    </row>
    <row r="27" spans="1:15">
      <c r="E27" s="53"/>
      <c r="F27" s="53"/>
      <c r="G27" s="55"/>
      <c r="H27" s="55"/>
      <c r="O27" s="56"/>
    </row>
    <row r="28" spans="1:15">
      <c r="E28" s="53"/>
      <c r="F28" s="53"/>
      <c r="G28" s="55"/>
      <c r="H28" s="55"/>
      <c r="O28" s="56"/>
    </row>
    <row r="29" spans="1:15">
      <c r="B29" s="57"/>
      <c r="F29" s="53"/>
      <c r="O29" s="56"/>
    </row>
    <row r="30" spans="1:15">
      <c r="F30" s="53"/>
      <c r="G30" s="55"/>
      <c r="H30" s="55"/>
      <c r="O30" s="56"/>
    </row>
    <row r="31" spans="1:15">
      <c r="A31" s="57"/>
      <c r="F31" s="53"/>
      <c r="G31" s="58"/>
      <c r="H31" s="58"/>
      <c r="O31" s="56"/>
    </row>
    <row r="32" spans="1:15">
      <c r="F32" s="53"/>
      <c r="G32" s="55"/>
      <c r="H32" s="55"/>
      <c r="O32" s="56"/>
    </row>
    <row r="33" spans="1:15">
      <c r="F33" s="53"/>
      <c r="G33" s="55"/>
      <c r="H33" s="55"/>
      <c r="O33" s="56"/>
    </row>
    <row r="34" spans="1:15">
      <c r="F34" s="53"/>
      <c r="G34" s="55"/>
      <c r="H34" s="55"/>
      <c r="O34" s="56"/>
    </row>
    <row r="35" spans="1:15">
      <c r="F35" s="53"/>
      <c r="G35" s="55"/>
      <c r="H35" s="55"/>
      <c r="O35" s="56"/>
    </row>
    <row r="36" spans="1:15">
      <c r="F36" s="53"/>
      <c r="G36" s="55"/>
      <c r="H36" s="55"/>
      <c r="O36" s="56"/>
    </row>
    <row r="37" spans="1:15">
      <c r="F37" s="53"/>
      <c r="G37" s="55"/>
      <c r="H37" s="55"/>
      <c r="O37" s="56"/>
    </row>
    <row r="38" spans="1:15">
      <c r="F38" s="53"/>
      <c r="G38" s="55"/>
      <c r="H38" s="55"/>
      <c r="O38" s="56"/>
    </row>
    <row r="39" spans="1:15">
      <c r="F39" s="53"/>
      <c r="G39" s="55"/>
      <c r="H39" s="55"/>
      <c r="O39" s="56"/>
    </row>
    <row r="40" spans="1:15">
      <c r="B40" s="57"/>
      <c r="F40" s="53"/>
      <c r="G40" s="55"/>
      <c r="H40" s="55"/>
      <c r="O40" s="56"/>
    </row>
    <row r="41" spans="1:15">
      <c r="F41" s="53"/>
      <c r="G41" s="55"/>
      <c r="H41" s="55"/>
      <c r="O41" s="56"/>
    </row>
    <row r="42" spans="1:15">
      <c r="A42" s="57"/>
      <c r="F42" s="58"/>
      <c r="G42" s="58"/>
      <c r="O42" s="56"/>
    </row>
    <row r="43" spans="1:15">
      <c r="G43" s="55"/>
      <c r="I43" s="55"/>
      <c r="O43" s="56"/>
    </row>
    <row r="44" spans="1:15">
      <c r="G44" s="55"/>
      <c r="I44" s="55"/>
      <c r="O44" s="56"/>
    </row>
    <row r="45" spans="1:15">
      <c r="G45" s="55"/>
      <c r="I45" s="55"/>
      <c r="O45" s="56"/>
    </row>
    <row r="46" spans="1:15">
      <c r="G46" s="55"/>
      <c r="I46" s="55"/>
      <c r="O46" s="56"/>
    </row>
    <row r="47" spans="1:15">
      <c r="G47" s="55"/>
      <c r="I47" s="55"/>
      <c r="O47" s="56"/>
    </row>
    <row r="48" spans="1:15">
      <c r="G48" s="55"/>
      <c r="I48" s="55"/>
      <c r="O48" s="56"/>
    </row>
    <row r="49" spans="1:15">
      <c r="G49" s="55"/>
      <c r="I49" s="55"/>
      <c r="O49" s="56"/>
    </row>
    <row r="50" spans="1:15">
      <c r="B50" s="57"/>
      <c r="F50" s="53"/>
      <c r="G50" s="55"/>
      <c r="H50" s="55"/>
      <c r="O50" s="56"/>
    </row>
    <row r="51" spans="1:15">
      <c r="F51" s="53"/>
      <c r="G51" s="55"/>
      <c r="H51" s="55"/>
      <c r="O51" s="56"/>
    </row>
    <row r="52" spans="1:15">
      <c r="A52" s="57"/>
      <c r="F52" s="53"/>
      <c r="G52" s="55"/>
      <c r="H52" s="55"/>
      <c r="O52" s="56"/>
    </row>
    <row r="53" spans="1:15">
      <c r="F53" s="53"/>
      <c r="G53" s="55"/>
      <c r="H53" s="55"/>
      <c r="O53" s="56"/>
    </row>
    <row r="54" spans="1:15">
      <c r="F54" s="53"/>
      <c r="G54" s="55"/>
      <c r="H54" s="55"/>
      <c r="O54" s="56"/>
    </row>
    <row r="55" spans="1:15">
      <c r="F55" s="53"/>
      <c r="G55" s="55"/>
      <c r="H55" s="55"/>
      <c r="O55" s="56"/>
    </row>
    <row r="56" spans="1:15">
      <c r="F56" s="53"/>
      <c r="G56" s="55"/>
      <c r="H56" s="55"/>
      <c r="O56" s="56"/>
    </row>
    <row r="57" spans="1:15">
      <c r="F57" s="53"/>
      <c r="G57" s="55"/>
      <c r="H57" s="55"/>
      <c r="O57" s="56"/>
    </row>
    <row r="58" spans="1:15">
      <c r="F58" s="53"/>
      <c r="G58" s="55"/>
      <c r="H58" s="55"/>
      <c r="O58" s="56"/>
    </row>
    <row r="59" spans="1:15">
      <c r="B59" s="57"/>
      <c r="F59" s="53"/>
      <c r="G59" s="55"/>
      <c r="H59" s="55"/>
      <c r="O59" s="56"/>
    </row>
    <row r="60" spans="1:15">
      <c r="F60" s="53"/>
      <c r="G60" s="55"/>
      <c r="H60" s="55"/>
      <c r="O60" s="56"/>
    </row>
    <row r="61" spans="1:15">
      <c r="A61" s="57"/>
      <c r="F61" s="53"/>
      <c r="G61" s="55"/>
      <c r="H61" s="55"/>
      <c r="O61" s="56"/>
    </row>
    <row r="62" spans="1:15">
      <c r="F62" s="53"/>
      <c r="G62" s="55"/>
      <c r="H62" s="55"/>
      <c r="O62" s="56"/>
    </row>
    <row r="63" spans="1:15">
      <c r="F63" s="53"/>
      <c r="G63" s="55"/>
      <c r="H63" s="55"/>
      <c r="O63" s="56"/>
    </row>
    <row r="64" spans="1:15">
      <c r="B64" s="57"/>
      <c r="F64" s="53"/>
      <c r="G64" s="55"/>
      <c r="H64" s="55"/>
      <c r="O64" s="56"/>
    </row>
    <row r="65" spans="6:15">
      <c r="F65" s="53"/>
      <c r="G65" s="55"/>
      <c r="H65" s="55"/>
      <c r="O65" s="56"/>
    </row>
    <row r="66" spans="6:15">
      <c r="F66" s="53"/>
      <c r="G66" s="55"/>
      <c r="H66" s="55"/>
      <c r="O66" s="56"/>
    </row>
    <row r="67" spans="6:15">
      <c r="F67" s="53"/>
      <c r="G67" s="55"/>
      <c r="H67" s="55"/>
      <c r="O67" s="56"/>
    </row>
    <row r="68" spans="6:15">
      <c r="F68" s="53"/>
      <c r="G68" s="55"/>
      <c r="H68" s="55"/>
      <c r="O68" s="56"/>
    </row>
    <row r="69" spans="6:15">
      <c r="F69" s="53"/>
      <c r="G69" s="55"/>
      <c r="H69" s="55"/>
      <c r="O69" s="56"/>
    </row>
    <row r="70" spans="6:15">
      <c r="F70" s="53"/>
      <c r="G70" s="55"/>
      <c r="H70" s="55"/>
      <c r="O70" s="56"/>
    </row>
    <row r="71" spans="6:15">
      <c r="F71" s="53"/>
      <c r="G71" s="55"/>
      <c r="H71" s="55"/>
      <c r="O71" s="56"/>
    </row>
    <row r="72" spans="6:15">
      <c r="F72" s="53"/>
      <c r="G72" s="55"/>
      <c r="H72" s="55"/>
      <c r="O72" s="56"/>
    </row>
    <row r="73" spans="6:15">
      <c r="F73" s="53"/>
      <c r="G73" s="55"/>
      <c r="H73" s="55"/>
      <c r="O73" s="56"/>
    </row>
    <row r="74" spans="6:15">
      <c r="F74" s="53"/>
      <c r="G74" s="55"/>
      <c r="H74" s="55"/>
      <c r="O74" s="56"/>
    </row>
    <row r="75" spans="6:15">
      <c r="F75" s="53"/>
      <c r="G75" s="55"/>
      <c r="H75" s="55"/>
      <c r="O75" s="56"/>
    </row>
    <row r="76" spans="6:15">
      <c r="F76" s="53"/>
      <c r="G76" s="55"/>
      <c r="H76" s="55"/>
      <c r="O76" s="56"/>
    </row>
    <row r="77" spans="6:15">
      <c r="F77" s="53"/>
      <c r="G77" s="55"/>
      <c r="H77" s="55"/>
      <c r="O77" s="56"/>
    </row>
  </sheetData>
  <mergeCells count="3">
    <mergeCell ref="A1:O1"/>
    <mergeCell ref="A2:B2"/>
    <mergeCell ref="G2:H2"/>
  </mergeCells>
  <printOptions horizontalCentered="1"/>
  <pageMargins left="0.16" right="0.16" top="0.590277777777778" bottom="0.472222222222222" header="0.51" footer="0.51"/>
  <pageSetup paperSize="9" scale="70" orientation="landscape"/>
  <headerFooter alignWithMargins="0">
    <oddFooter>&amp;C第 &amp;P 页，共 &amp;N 页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0"/>
  <sheetViews>
    <sheetView zoomScale="75" zoomScaleNormal="75" workbookViewId="0">
      <selection activeCell="A1" sqref="A1:O1"/>
    </sheetView>
  </sheetViews>
  <sheetFormatPr defaultColWidth="9" defaultRowHeight="14.25"/>
  <cols>
    <col min="3" max="4" width="13.25" customWidth="1"/>
    <col min="5" max="5" width="12.125" customWidth="1"/>
    <col min="6" max="6" width="14.5" customWidth="1"/>
    <col min="7" max="7" width="16.75" customWidth="1"/>
    <col min="8" max="10" width="13.25" customWidth="1"/>
    <col min="11" max="11" width="11.5" customWidth="1"/>
    <col min="12" max="13" width="13.25" customWidth="1"/>
    <col min="14" max="14" width="12.75" customWidth="1"/>
    <col min="15" max="15" width="17.5" customWidth="1"/>
  </cols>
  <sheetData>
    <row r="1" ht="25.5" spans="1:16">
      <c r="A1" s="21" t="s">
        <v>256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ht="22.5" customHeight="1" spans="1:16">
      <c r="A2" s="23" t="s">
        <v>257</v>
      </c>
      <c r="B2" s="23"/>
      <c r="C2" s="24"/>
      <c r="D2" s="24"/>
      <c r="E2" s="25"/>
      <c r="F2" s="25"/>
      <c r="G2" s="25"/>
      <c r="H2" s="25"/>
      <c r="I2" s="22"/>
      <c r="J2" s="22"/>
      <c r="K2" s="22"/>
      <c r="L2" s="22"/>
      <c r="M2" s="22"/>
      <c r="N2" s="22"/>
      <c r="O2" s="22"/>
      <c r="P2" s="22"/>
    </row>
    <row r="3" ht="22.5" customHeight="1" spans="1:16">
      <c r="A3" s="26" t="s">
        <v>258</v>
      </c>
      <c r="B3" s="27"/>
      <c r="C3" s="28"/>
      <c r="D3" s="29"/>
      <c r="E3" s="29"/>
      <c r="F3" s="29"/>
      <c r="G3" s="29"/>
      <c r="H3" s="27"/>
      <c r="I3" s="27"/>
      <c r="J3" s="27"/>
      <c r="K3" s="27"/>
      <c r="L3" s="27"/>
      <c r="M3" s="27"/>
      <c r="N3" s="27"/>
      <c r="O3" s="30"/>
      <c r="P3" s="22"/>
    </row>
    <row r="4" ht="22.5" customHeight="1" spans="1:16">
      <c r="A4" s="31"/>
      <c r="B4" s="22"/>
      <c r="C4" s="22"/>
      <c r="D4" s="22"/>
      <c r="E4" s="25" t="s">
        <v>49</v>
      </c>
      <c r="F4" s="25" t="s">
        <v>40</v>
      </c>
      <c r="G4" s="32" t="s">
        <v>13</v>
      </c>
      <c r="H4" s="25" t="s">
        <v>197</v>
      </c>
      <c r="I4" s="33"/>
      <c r="J4" s="22"/>
      <c r="K4" s="22"/>
      <c r="L4" s="22"/>
      <c r="M4" s="22"/>
      <c r="N4" s="22"/>
      <c r="O4" s="34"/>
      <c r="P4" s="22"/>
    </row>
    <row r="5" ht="22.5" customHeight="1" spans="1:16">
      <c r="A5" s="35"/>
      <c r="B5" s="36"/>
      <c r="C5" s="36"/>
      <c r="D5" s="36"/>
      <c r="E5" s="37">
        <v>3</v>
      </c>
      <c r="F5" s="38">
        <v>1500</v>
      </c>
      <c r="G5" s="39">
        <f>E5*F5</f>
        <v>4500</v>
      </c>
      <c r="H5" s="36" t="s">
        <v>259</v>
      </c>
      <c r="I5" s="40"/>
      <c r="J5" s="36"/>
      <c r="K5" s="36"/>
      <c r="L5" s="36"/>
      <c r="M5" s="36"/>
      <c r="N5" s="36"/>
      <c r="O5" s="41">
        <f>G5</f>
        <v>4500</v>
      </c>
      <c r="P5" s="22"/>
    </row>
    <row r="6" s="20" customFormat="1" ht="22.5" customHeight="1" spans="1:16">
      <c r="A6" s="42" t="s">
        <v>260</v>
      </c>
      <c r="B6" s="43"/>
      <c r="C6" s="44"/>
      <c r="D6" s="45"/>
      <c r="E6" s="45" t="s">
        <v>261</v>
      </c>
      <c r="F6" s="44"/>
      <c r="G6" s="46" t="s">
        <v>262</v>
      </c>
      <c r="H6" s="46"/>
      <c r="I6" s="44"/>
      <c r="J6" s="44"/>
      <c r="K6" s="44"/>
      <c r="L6" s="44"/>
      <c r="M6" s="44"/>
      <c r="N6" s="44"/>
      <c r="O6" s="47"/>
      <c r="P6" s="43"/>
    </row>
    <row r="7" s="20" customFormat="1" ht="22.5" customHeight="1" spans="1:16">
      <c r="A7" s="48"/>
      <c r="B7" s="48"/>
      <c r="C7" s="49"/>
      <c r="D7" s="50"/>
      <c r="E7" s="51">
        <v>0.06</v>
      </c>
      <c r="F7" s="49"/>
      <c r="G7" s="49">
        <f>SUM(收入明细!M18)</f>
        <v>4684606.352</v>
      </c>
      <c r="H7" s="49"/>
      <c r="I7" s="49"/>
      <c r="J7" s="49"/>
      <c r="K7" s="49"/>
      <c r="L7" s="49"/>
      <c r="M7" s="49"/>
      <c r="N7" s="49"/>
      <c r="O7" s="52">
        <f>G7*E7</f>
        <v>281076.38112</v>
      </c>
      <c r="P7" s="43"/>
    </row>
    <row r="8" ht="22.5" customHeight="1" spans="1:16">
      <c r="A8" s="22"/>
      <c r="B8" s="22"/>
      <c r="C8" s="53"/>
      <c r="D8" s="32"/>
      <c r="E8" s="32"/>
      <c r="F8" s="53"/>
      <c r="G8" s="53"/>
      <c r="H8" s="53"/>
      <c r="I8" s="53"/>
      <c r="J8" s="53"/>
      <c r="K8" s="53"/>
      <c r="L8" s="53"/>
      <c r="M8" s="53"/>
      <c r="N8" s="53"/>
      <c r="O8" s="33"/>
      <c r="P8" s="22"/>
    </row>
    <row r="9" ht="22.5" customHeight="1" spans="1:16">
      <c r="A9" s="26" t="s">
        <v>56</v>
      </c>
      <c r="B9" s="26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30">
        <f>SUM(O5:O8)</f>
        <v>285576.38112</v>
      </c>
      <c r="P9" s="22"/>
    </row>
    <row r="10" ht="22.5" customHeight="1" spans="1:16">
      <c r="A10" s="22"/>
      <c r="B10" s="22"/>
      <c r="C10" s="53"/>
      <c r="D10" s="32"/>
      <c r="E10" s="32"/>
      <c r="F10" s="53"/>
      <c r="G10" s="53"/>
      <c r="H10" s="53"/>
      <c r="I10" s="53"/>
      <c r="J10" s="53"/>
      <c r="K10" s="53"/>
      <c r="L10" s="53"/>
      <c r="M10" s="53"/>
      <c r="N10" s="53"/>
      <c r="O10" s="33"/>
      <c r="P10" s="22"/>
    </row>
    <row r="11" ht="22.5" customHeight="1" spans="1:16">
      <c r="C11" s="53"/>
      <c r="D11" s="32"/>
      <c r="E11" s="32"/>
      <c r="F11" s="53"/>
      <c r="G11" s="53"/>
      <c r="H11" s="53"/>
      <c r="I11" s="53"/>
      <c r="J11" s="53"/>
      <c r="K11" s="53"/>
      <c r="L11" s="53"/>
      <c r="M11" s="53"/>
      <c r="N11" s="53"/>
      <c r="O11" s="55"/>
    </row>
    <row r="12" ht="22.5" customHeight="1" spans="1:16">
      <c r="C12" s="53"/>
      <c r="D12" s="32"/>
      <c r="E12" s="32"/>
      <c r="F12" s="53"/>
      <c r="G12" s="53"/>
      <c r="H12" s="53"/>
      <c r="I12" s="53"/>
      <c r="J12" s="53"/>
      <c r="K12" s="53"/>
      <c r="L12" s="53"/>
      <c r="M12" s="53"/>
      <c r="N12" s="53"/>
      <c r="O12" s="55"/>
    </row>
    <row r="13" spans="1:16">
      <c r="F13" s="53"/>
      <c r="G13" s="55"/>
      <c r="H13" s="55"/>
      <c r="O13" s="56"/>
    </row>
    <row r="14" spans="1:16">
      <c r="A14" s="57"/>
      <c r="F14" s="53"/>
      <c r="G14" s="58"/>
      <c r="H14" s="58"/>
      <c r="O14" s="56"/>
    </row>
    <row r="15" spans="1:16">
      <c r="F15" s="53"/>
      <c r="G15" s="55"/>
      <c r="H15" s="55"/>
      <c r="O15" s="56"/>
    </row>
    <row r="16" spans="1:16">
      <c r="F16" s="53"/>
      <c r="G16" s="55"/>
      <c r="H16" s="55"/>
      <c r="O16" s="56"/>
    </row>
    <row r="17" spans="1:15">
      <c r="F17" s="53"/>
      <c r="G17" s="55"/>
      <c r="H17" s="55"/>
      <c r="O17" s="56"/>
    </row>
    <row r="18" spans="1:15">
      <c r="F18" s="53"/>
      <c r="G18" s="55"/>
      <c r="H18" s="55"/>
      <c r="O18" s="56"/>
    </row>
    <row r="19" spans="1:15">
      <c r="F19" s="53"/>
      <c r="G19" s="55"/>
      <c r="H19" s="55"/>
      <c r="O19" s="56"/>
    </row>
    <row r="20" spans="1:15">
      <c r="F20" s="53"/>
      <c r="G20" s="55"/>
      <c r="H20" s="55"/>
      <c r="O20" s="56"/>
    </row>
    <row r="21" spans="1:15">
      <c r="F21" s="53"/>
      <c r="G21" s="55"/>
      <c r="H21" s="55"/>
      <c r="O21" s="56"/>
    </row>
    <row r="22" spans="1:15">
      <c r="F22" s="53"/>
      <c r="G22" s="55"/>
      <c r="H22" s="55"/>
      <c r="O22" s="56"/>
    </row>
    <row r="23" spans="1:15">
      <c r="B23" s="57"/>
      <c r="F23" s="53"/>
      <c r="G23" s="55"/>
      <c r="H23" s="55"/>
      <c r="O23" s="56"/>
    </row>
    <row r="24" spans="1:15">
      <c r="F24" s="53"/>
      <c r="G24" s="55"/>
      <c r="H24" s="55"/>
      <c r="O24" s="56"/>
    </row>
    <row r="25" spans="1:15">
      <c r="A25" s="57"/>
      <c r="F25" s="58"/>
      <c r="G25" s="58"/>
      <c r="O25" s="56"/>
    </row>
    <row r="26" spans="1:15">
      <c r="G26" s="55"/>
      <c r="I26" s="55"/>
      <c r="O26" s="56"/>
    </row>
    <row r="27" spans="1:15">
      <c r="G27" s="55"/>
      <c r="I27" s="55"/>
      <c r="O27" s="56"/>
    </row>
    <row r="28" spans="1:15">
      <c r="G28" s="55"/>
      <c r="I28" s="55"/>
      <c r="O28" s="56"/>
    </row>
    <row r="29" spans="1:15">
      <c r="G29" s="55"/>
      <c r="I29" s="55"/>
      <c r="O29" s="56"/>
    </row>
    <row r="30" spans="1:15">
      <c r="G30" s="55"/>
      <c r="I30" s="55"/>
      <c r="O30" s="56"/>
    </row>
    <row r="31" spans="1:15">
      <c r="G31" s="55"/>
      <c r="I31" s="55"/>
      <c r="O31" s="56"/>
    </row>
    <row r="32" spans="1:15">
      <c r="G32" s="55"/>
      <c r="I32" s="55"/>
      <c r="O32" s="56"/>
    </row>
    <row r="33" spans="1:15">
      <c r="B33" s="57"/>
      <c r="F33" s="53"/>
      <c r="G33" s="55"/>
      <c r="H33" s="55"/>
      <c r="O33" s="56"/>
    </row>
    <row r="34" spans="1:15">
      <c r="F34" s="53"/>
      <c r="G34" s="55"/>
      <c r="H34" s="55"/>
      <c r="O34" s="56"/>
    </row>
    <row r="35" spans="1:15">
      <c r="A35" s="57"/>
      <c r="F35" s="53"/>
      <c r="G35" s="55"/>
      <c r="H35" s="55"/>
      <c r="O35" s="56"/>
    </row>
    <row r="36" spans="1:15">
      <c r="F36" s="53"/>
      <c r="G36" s="55"/>
      <c r="H36" s="55"/>
      <c r="O36" s="56"/>
    </row>
    <row r="37" spans="1:15">
      <c r="F37" s="53"/>
      <c r="G37" s="55"/>
      <c r="H37" s="55"/>
      <c r="O37" s="56"/>
    </row>
    <row r="38" spans="1:15">
      <c r="F38" s="53"/>
      <c r="G38" s="55"/>
      <c r="H38" s="55"/>
      <c r="O38" s="56"/>
    </row>
    <row r="39" spans="1:15">
      <c r="F39" s="53"/>
      <c r="G39" s="55"/>
      <c r="H39" s="55"/>
      <c r="O39" s="56"/>
    </row>
    <row r="40" spans="1:15">
      <c r="F40" s="53"/>
      <c r="G40" s="55"/>
      <c r="H40" s="55"/>
      <c r="O40" s="56"/>
    </row>
    <row r="41" spans="1:15">
      <c r="F41" s="53"/>
      <c r="G41" s="55"/>
      <c r="H41" s="55"/>
      <c r="O41" s="56"/>
    </row>
    <row r="42" spans="1:15">
      <c r="B42" s="57"/>
      <c r="F42" s="53"/>
      <c r="G42" s="55"/>
      <c r="H42" s="55"/>
      <c r="O42" s="56"/>
    </row>
    <row r="43" spans="1:15">
      <c r="F43" s="53"/>
      <c r="G43" s="55"/>
      <c r="H43" s="55"/>
      <c r="O43" s="56"/>
    </row>
    <row r="44" spans="1:15">
      <c r="A44" s="57"/>
      <c r="F44" s="53"/>
      <c r="G44" s="55"/>
      <c r="H44" s="55"/>
      <c r="O44" s="56"/>
    </row>
    <row r="45" spans="1:15">
      <c r="F45" s="53"/>
      <c r="G45" s="55"/>
      <c r="H45" s="55"/>
      <c r="O45" s="56"/>
    </row>
    <row r="46" spans="1:15">
      <c r="F46" s="53"/>
      <c r="G46" s="55"/>
      <c r="H46" s="55"/>
      <c r="O46" s="56"/>
    </row>
    <row r="47" spans="1:15">
      <c r="B47" s="57"/>
      <c r="F47" s="53"/>
      <c r="G47" s="55"/>
      <c r="H47" s="55"/>
      <c r="O47" s="56"/>
    </row>
    <row r="48" spans="1:15">
      <c r="F48" s="53"/>
      <c r="G48" s="55"/>
      <c r="H48" s="55"/>
      <c r="O48" s="56"/>
    </row>
    <row r="49" spans="6:15">
      <c r="F49" s="53"/>
      <c r="G49" s="55"/>
      <c r="H49" s="55"/>
      <c r="O49" s="56"/>
    </row>
    <row r="50" spans="6:15">
      <c r="F50" s="53"/>
      <c r="G50" s="55"/>
      <c r="H50" s="55"/>
      <c r="O50" s="56"/>
    </row>
    <row r="51" spans="6:15">
      <c r="F51" s="53"/>
      <c r="G51" s="55"/>
      <c r="H51" s="55"/>
      <c r="O51" s="56"/>
    </row>
    <row r="52" spans="6:15">
      <c r="F52" s="53"/>
      <c r="G52" s="55"/>
      <c r="H52" s="55"/>
      <c r="O52" s="56"/>
    </row>
    <row r="53" spans="6:15">
      <c r="F53" s="53"/>
      <c r="G53" s="55"/>
      <c r="H53" s="55"/>
      <c r="O53" s="56"/>
    </row>
    <row r="54" spans="6:15">
      <c r="F54" s="53"/>
      <c r="G54" s="55"/>
      <c r="H54" s="55"/>
      <c r="O54" s="56"/>
    </row>
    <row r="55" spans="6:15">
      <c r="F55" s="53"/>
      <c r="G55" s="55"/>
      <c r="H55" s="55"/>
      <c r="O55" s="56"/>
    </row>
    <row r="56" spans="6:15">
      <c r="F56" s="53"/>
      <c r="G56" s="55"/>
      <c r="H56" s="55"/>
      <c r="O56" s="56"/>
    </row>
    <row r="57" spans="6:15">
      <c r="F57" s="53"/>
      <c r="G57" s="55"/>
      <c r="H57" s="55"/>
      <c r="O57" s="56"/>
    </row>
    <row r="58" spans="6:15">
      <c r="F58" s="53"/>
      <c r="G58" s="55"/>
      <c r="H58" s="55"/>
      <c r="O58" s="56"/>
    </row>
    <row r="59" spans="6:15">
      <c r="F59" s="53"/>
      <c r="G59" s="55"/>
      <c r="H59" s="55"/>
      <c r="O59" s="56"/>
    </row>
    <row r="60" spans="6:15">
      <c r="F60" s="53"/>
      <c r="G60" s="55"/>
      <c r="H60" s="55"/>
      <c r="O60" s="56"/>
    </row>
  </sheetData>
  <mergeCells count="3">
    <mergeCell ref="A1:O1"/>
    <mergeCell ref="A2:B2"/>
    <mergeCell ref="G2:H2"/>
  </mergeCells>
  <printOptions horizontalCentered="1"/>
  <pageMargins left="0.16" right="0.16" top="0.98" bottom="0.98" header="0.51" footer="0.51"/>
  <pageSetup paperSize="9" scale="65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Q18" sqref="Q18"/>
    </sheetView>
  </sheetViews>
  <sheetFormatPr defaultColWidth="9" defaultRowHeight="21" customHeight="1" outlineLevelCol="5"/>
  <cols>
    <col min="1" max="1" width="7.75" style="1" customWidth="1"/>
    <col min="2" max="2" width="16.25" style="1" customWidth="1"/>
    <col min="3" max="3" width="12.375" style="1" customWidth="1"/>
    <col min="4" max="4" width="9.75" style="1" customWidth="1"/>
    <col min="5" max="5" width="11.125" style="1" customWidth="1"/>
    <col min="6" max="6" width="19.125" style="1" customWidth="1"/>
    <col min="7" max="16384" width="9" style="1"/>
  </cols>
  <sheetData>
    <row r="1" customHeight="1" spans="1:6">
      <c r="A1" s="2" t="s">
        <v>263</v>
      </c>
      <c r="B1" s="2"/>
      <c r="C1" s="2"/>
      <c r="D1" s="2"/>
      <c r="E1" s="2"/>
      <c r="F1" s="2"/>
    </row>
    <row r="2" customHeight="1" spans="1:6">
      <c r="A2" s="3" t="s">
        <v>264</v>
      </c>
      <c r="B2" s="3" t="s">
        <v>265</v>
      </c>
      <c r="C2" s="3" t="s">
        <v>266</v>
      </c>
      <c r="D2" s="3" t="s">
        <v>267</v>
      </c>
      <c r="E2" s="3" t="s">
        <v>268</v>
      </c>
      <c r="F2" s="3" t="s">
        <v>197</v>
      </c>
    </row>
    <row r="3" customHeight="1" spans="1:6">
      <c r="A3" s="3">
        <v>1</v>
      </c>
      <c r="B3" s="3" t="s">
        <v>269</v>
      </c>
      <c r="C3" s="3" t="s">
        <v>270</v>
      </c>
      <c r="D3" s="4">
        <v>78.9</v>
      </c>
      <c r="E3" s="5">
        <v>144</v>
      </c>
      <c r="F3" s="6" t="s">
        <v>271</v>
      </c>
    </row>
    <row r="4" customHeight="1" spans="1:6">
      <c r="A4" s="3">
        <v>2</v>
      </c>
      <c r="B4" s="3" t="s">
        <v>272</v>
      </c>
      <c r="C4" s="3" t="s">
        <v>270</v>
      </c>
      <c r="D4" s="4">
        <v>78.9</v>
      </c>
      <c r="E4" s="5">
        <v>144</v>
      </c>
      <c r="F4" s="6" t="s">
        <v>271</v>
      </c>
    </row>
    <row r="5" customHeight="1" spans="1:6">
      <c r="A5" s="3">
        <v>3</v>
      </c>
      <c r="B5" s="3" t="s">
        <v>273</v>
      </c>
      <c r="C5" s="3" t="s">
        <v>270</v>
      </c>
      <c r="D5" s="4">
        <v>78.9</v>
      </c>
      <c r="E5" s="5">
        <v>216</v>
      </c>
      <c r="F5" s="6" t="s">
        <v>271</v>
      </c>
    </row>
    <row r="6" customHeight="1" spans="1:6">
      <c r="A6" s="3">
        <v>4</v>
      </c>
      <c r="B6" s="3" t="s">
        <v>274</v>
      </c>
      <c r="C6" s="3" t="s">
        <v>275</v>
      </c>
      <c r="D6" s="4">
        <v>77.35</v>
      </c>
      <c r="E6" s="5">
        <v>156</v>
      </c>
      <c r="F6" s="6" t="s">
        <v>271</v>
      </c>
    </row>
    <row r="7" customHeight="1" spans="1:6">
      <c r="A7" s="3">
        <v>5</v>
      </c>
      <c r="B7" s="3" t="s">
        <v>276</v>
      </c>
      <c r="C7" s="3" t="s">
        <v>275</v>
      </c>
      <c r="D7" s="4">
        <v>77.35</v>
      </c>
      <c r="E7" s="5">
        <v>156</v>
      </c>
      <c r="F7" s="6" t="s">
        <v>271</v>
      </c>
    </row>
    <row r="8" customHeight="1" spans="1:6">
      <c r="A8" s="3">
        <v>6</v>
      </c>
      <c r="B8" s="3" t="s">
        <v>277</v>
      </c>
      <c r="C8" s="3" t="s">
        <v>275</v>
      </c>
      <c r="D8" s="4">
        <v>79.6</v>
      </c>
      <c r="E8" s="5">
        <v>100</v>
      </c>
      <c r="F8" s="6" t="s">
        <v>271</v>
      </c>
    </row>
    <row r="9" customHeight="1" spans="1:6">
      <c r="A9" s="3">
        <v>7</v>
      </c>
      <c r="B9" s="3" t="s">
        <v>278</v>
      </c>
      <c r="C9" s="3" t="s">
        <v>275</v>
      </c>
      <c r="D9" s="4">
        <v>77.35</v>
      </c>
      <c r="E9" s="5">
        <v>234</v>
      </c>
      <c r="F9" s="6" t="s">
        <v>271</v>
      </c>
    </row>
    <row r="10" customHeight="1" spans="1:6">
      <c r="A10" s="3">
        <v>8</v>
      </c>
      <c r="B10" s="3" t="s">
        <v>279</v>
      </c>
      <c r="C10" s="3" t="s">
        <v>270</v>
      </c>
      <c r="D10" s="4">
        <v>78.9</v>
      </c>
      <c r="E10" s="5">
        <v>299</v>
      </c>
      <c r="F10" s="6" t="s">
        <v>271</v>
      </c>
    </row>
    <row r="11" customHeight="1" spans="1:6">
      <c r="A11" s="3">
        <v>9</v>
      </c>
      <c r="B11" s="3" t="s">
        <v>280</v>
      </c>
      <c r="C11" s="3" t="s">
        <v>270</v>
      </c>
      <c r="D11" s="4">
        <v>78.9</v>
      </c>
      <c r="E11" s="5">
        <v>146</v>
      </c>
      <c r="F11" s="6" t="s">
        <v>271</v>
      </c>
    </row>
    <row r="12" customHeight="1" spans="1:6">
      <c r="A12" s="3">
        <v>10</v>
      </c>
      <c r="B12" s="7" t="s">
        <v>281</v>
      </c>
      <c r="C12" s="3">
        <v>3</v>
      </c>
      <c r="D12" s="4">
        <v>14.16</v>
      </c>
      <c r="E12" s="5"/>
      <c r="F12" s="6" t="s">
        <v>271</v>
      </c>
    </row>
    <row r="13" customHeight="1" spans="1:6">
      <c r="A13" s="3">
        <v>11</v>
      </c>
      <c r="B13" s="3" t="s">
        <v>282</v>
      </c>
      <c r="C13" s="3"/>
      <c r="D13" s="4"/>
      <c r="E13" s="5"/>
      <c r="F13" s="6" t="s">
        <v>271</v>
      </c>
    </row>
    <row r="14" customHeight="1" spans="1:6">
      <c r="A14" s="3">
        <v>12</v>
      </c>
      <c r="B14" s="8" t="s">
        <v>37</v>
      </c>
      <c r="C14" s="3"/>
      <c r="D14" s="4"/>
      <c r="E14" s="9">
        <f>SUM(E3:E13)</f>
        <v>1595</v>
      </c>
      <c r="F14" s="3"/>
    </row>
    <row r="15" customHeight="1" spans="1:6">
      <c r="A15" s="10"/>
      <c r="B15" s="11"/>
      <c r="C15" s="11"/>
      <c r="D15" s="11"/>
      <c r="E15" s="11"/>
      <c r="F15" s="12"/>
    </row>
    <row r="16" customHeight="1" spans="1:6">
      <c r="A16" s="2" t="s">
        <v>283</v>
      </c>
      <c r="B16" s="2"/>
      <c r="C16" s="2"/>
      <c r="D16" s="2"/>
      <c r="E16" s="2"/>
      <c r="F16" s="2"/>
    </row>
    <row r="17" customHeight="1" spans="1:6">
      <c r="A17" s="3" t="s">
        <v>264</v>
      </c>
      <c r="B17" s="3" t="s">
        <v>194</v>
      </c>
      <c r="C17" s="3" t="s">
        <v>284</v>
      </c>
      <c r="D17" s="3"/>
      <c r="E17" s="3"/>
      <c r="F17" s="3" t="s">
        <v>285</v>
      </c>
    </row>
    <row r="18" customHeight="1" spans="1:6">
      <c r="A18" s="3">
        <v>1</v>
      </c>
      <c r="B18" s="3" t="s">
        <v>286</v>
      </c>
      <c r="C18" s="13">
        <v>64297.128</v>
      </c>
      <c r="D18" s="3"/>
      <c r="E18" s="3"/>
      <c r="F18" s="6" t="s">
        <v>271</v>
      </c>
    </row>
    <row r="19" customHeight="1" spans="1:6">
      <c r="A19" s="3">
        <v>2</v>
      </c>
      <c r="B19" s="3" t="s">
        <v>287</v>
      </c>
      <c r="C19" s="13">
        <v>60812.183</v>
      </c>
      <c r="D19" s="3"/>
      <c r="E19" s="3"/>
      <c r="F19" s="6" t="s">
        <v>271</v>
      </c>
    </row>
    <row r="20" customHeight="1" spans="1:6">
      <c r="A20" s="3">
        <v>3</v>
      </c>
      <c r="B20" s="3" t="s">
        <v>288</v>
      </c>
      <c r="C20" s="13">
        <v>60812.183</v>
      </c>
      <c r="D20" s="3"/>
      <c r="E20" s="3"/>
      <c r="F20" s="6" t="s">
        <v>271</v>
      </c>
    </row>
    <row r="21" customHeight="1" spans="1:6">
      <c r="A21" s="3">
        <v>4</v>
      </c>
      <c r="B21" s="3" t="s">
        <v>289</v>
      </c>
      <c r="C21" s="13">
        <v>3484.945</v>
      </c>
      <c r="D21" s="3"/>
      <c r="E21" s="3"/>
      <c r="F21" s="6" t="s">
        <v>271</v>
      </c>
    </row>
    <row r="22" customHeight="1" spans="1:6">
      <c r="A22" s="3">
        <v>5</v>
      </c>
      <c r="B22" s="8" t="s">
        <v>290</v>
      </c>
      <c r="C22" s="14">
        <v>256872.63</v>
      </c>
      <c r="D22" s="3"/>
      <c r="E22" s="3"/>
      <c r="F22" s="3"/>
    </row>
    <row r="23" customHeight="1" spans="1:6">
      <c r="A23" s="10"/>
      <c r="B23" s="11"/>
      <c r="C23" s="11"/>
      <c r="D23" s="11"/>
      <c r="E23" s="11"/>
      <c r="F23" s="12"/>
    </row>
    <row r="24" customHeight="1" spans="1:6">
      <c r="A24" s="7" t="s">
        <v>291</v>
      </c>
      <c r="B24" s="3" t="s">
        <v>292</v>
      </c>
      <c r="C24" s="13">
        <v>187237.37</v>
      </c>
      <c r="D24" s="3"/>
      <c r="E24" s="3"/>
      <c r="F24" s="6" t="s">
        <v>271</v>
      </c>
    </row>
    <row r="25" customHeight="1" spans="1:6">
      <c r="A25" s="7"/>
      <c r="B25" s="3" t="s">
        <v>293</v>
      </c>
      <c r="C25" s="13">
        <v>17884.28</v>
      </c>
      <c r="D25" s="3"/>
      <c r="E25" s="3"/>
      <c r="F25" s="6" t="s">
        <v>271</v>
      </c>
    </row>
    <row r="26" customHeight="1" spans="1:6">
      <c r="A26" s="7"/>
      <c r="B26" s="3" t="s">
        <v>294</v>
      </c>
      <c r="C26" s="13">
        <v>2399.26</v>
      </c>
      <c r="D26" s="3"/>
      <c r="E26" s="3"/>
      <c r="F26" s="6" t="s">
        <v>271</v>
      </c>
    </row>
    <row r="27" customHeight="1" spans="1:6">
      <c r="A27" s="7"/>
      <c r="B27" s="3" t="s">
        <v>295</v>
      </c>
      <c r="C27" s="13">
        <v>131.5</v>
      </c>
      <c r="D27" s="3"/>
      <c r="E27" s="3"/>
      <c r="F27" s="6" t="s">
        <v>271</v>
      </c>
    </row>
    <row r="28" customHeight="1" spans="1:6">
      <c r="A28" s="7"/>
      <c r="B28" s="7" t="s">
        <v>296</v>
      </c>
      <c r="C28" s="13">
        <v>1019.2</v>
      </c>
      <c r="D28" s="3"/>
      <c r="E28" s="3"/>
      <c r="F28" s="6" t="s">
        <v>271</v>
      </c>
    </row>
    <row r="29" customHeight="1" spans="1:6">
      <c r="A29" s="7"/>
      <c r="B29" s="3" t="s">
        <v>297</v>
      </c>
      <c r="C29" s="13">
        <v>276.93</v>
      </c>
      <c r="D29" s="3"/>
      <c r="E29" s="3"/>
      <c r="F29" s="6" t="s">
        <v>271</v>
      </c>
    </row>
    <row r="30" customHeight="1" spans="1:6">
      <c r="A30" s="7"/>
      <c r="B30" s="3" t="s">
        <v>298</v>
      </c>
      <c r="C30" s="13">
        <v>101</v>
      </c>
      <c r="D30" s="3"/>
      <c r="E30" s="3"/>
      <c r="F30" s="6" t="s">
        <v>271</v>
      </c>
    </row>
    <row r="31" customHeight="1" spans="1:6">
      <c r="A31" s="7"/>
      <c r="B31" s="8" t="s">
        <v>299</v>
      </c>
      <c r="C31" s="14">
        <f>SUM(C24:C30)</f>
        <v>209049.54</v>
      </c>
      <c r="D31" s="3"/>
      <c r="E31" s="3"/>
      <c r="F31" s="3"/>
    </row>
    <row r="32" customHeight="1" spans="1:6">
      <c r="A32" s="10"/>
      <c r="B32" s="11"/>
      <c r="C32" s="11"/>
      <c r="D32" s="11"/>
      <c r="E32" s="11"/>
      <c r="F32" s="12"/>
    </row>
    <row r="33" customHeight="1" spans="1:6">
      <c r="A33" s="7" t="s">
        <v>300</v>
      </c>
      <c r="B33" s="3" t="s">
        <v>301</v>
      </c>
      <c r="C33" s="13">
        <v>36368.83</v>
      </c>
      <c r="D33" s="3"/>
      <c r="E33" s="3"/>
      <c r="F33" s="6" t="s">
        <v>271</v>
      </c>
    </row>
    <row r="34" customHeight="1" spans="1:6">
      <c r="A34" s="7"/>
      <c r="B34" s="3" t="s">
        <v>302</v>
      </c>
      <c r="C34" s="13">
        <v>11454.26</v>
      </c>
      <c r="D34" s="3"/>
      <c r="E34" s="3"/>
      <c r="F34" s="6" t="s">
        <v>271</v>
      </c>
    </row>
    <row r="35" customHeight="1" spans="1:6">
      <c r="A35" s="7"/>
      <c r="B35" s="8" t="s">
        <v>303</v>
      </c>
      <c r="C35" s="14">
        <f>SUM(C33:C34)</f>
        <v>47823.09</v>
      </c>
      <c r="D35" s="3"/>
      <c r="E35" s="3"/>
      <c r="F35" s="3"/>
    </row>
    <row r="36" customHeight="1" spans="1:6">
      <c r="A36" s="15"/>
      <c r="B36" s="16"/>
      <c r="C36" s="16"/>
      <c r="D36" s="16"/>
      <c r="E36" s="16"/>
      <c r="F36" s="17"/>
    </row>
    <row r="37" customHeight="1" spans="1:6">
      <c r="A37" s="2" t="s">
        <v>304</v>
      </c>
      <c r="B37" s="2"/>
      <c r="C37" s="2"/>
      <c r="D37" s="2"/>
      <c r="E37" s="2"/>
      <c r="F37" s="2"/>
    </row>
    <row r="38" customHeight="1" spans="1:6">
      <c r="A38" s="3" t="s">
        <v>264</v>
      </c>
      <c r="B38" s="3" t="s">
        <v>305</v>
      </c>
      <c r="C38" s="3" t="s">
        <v>306</v>
      </c>
      <c r="D38" s="3"/>
      <c r="E38" s="3"/>
      <c r="F38" s="3" t="s">
        <v>285</v>
      </c>
    </row>
    <row r="39" customHeight="1" spans="1:6">
      <c r="A39" s="3">
        <v>1</v>
      </c>
      <c r="B39" s="3" t="s">
        <v>307</v>
      </c>
      <c r="C39" s="13">
        <v>3.44</v>
      </c>
      <c r="D39" s="3"/>
      <c r="E39" s="3"/>
      <c r="F39" s="6" t="s">
        <v>271</v>
      </c>
    </row>
    <row r="40" customHeight="1" spans="1:6">
      <c r="A40" s="3">
        <v>2</v>
      </c>
      <c r="B40" s="3" t="s">
        <v>308</v>
      </c>
      <c r="C40" s="18">
        <v>0.24</v>
      </c>
      <c r="D40" s="3"/>
      <c r="E40" s="3"/>
      <c r="F40" s="6" t="s">
        <v>271</v>
      </c>
    </row>
    <row r="41" customHeight="1" spans="1:6">
      <c r="A41" s="3">
        <v>3</v>
      </c>
      <c r="B41" s="3" t="s">
        <v>309</v>
      </c>
      <c r="C41" s="19">
        <v>1595</v>
      </c>
      <c r="D41" s="3"/>
      <c r="E41" s="3"/>
      <c r="F41" s="6" t="s">
        <v>271</v>
      </c>
    </row>
    <row r="42" customHeight="1" spans="1:6">
      <c r="A42" s="3">
        <v>4</v>
      </c>
      <c r="B42" s="3" t="s">
        <v>310</v>
      </c>
      <c r="C42" s="13">
        <v>24231.09</v>
      </c>
      <c r="D42" s="3"/>
      <c r="E42" s="3"/>
      <c r="F42" s="6" t="s">
        <v>271</v>
      </c>
    </row>
    <row r="43" customHeight="1" spans="1:6">
      <c r="A43" s="3">
        <v>5</v>
      </c>
      <c r="B43" s="3" t="s">
        <v>311</v>
      </c>
      <c r="C43" s="18">
        <v>0.399</v>
      </c>
      <c r="D43" s="3"/>
      <c r="E43" s="3"/>
      <c r="F43" s="6" t="s">
        <v>271</v>
      </c>
    </row>
    <row r="44" customHeight="1" spans="1:6">
      <c r="A44" s="3">
        <v>6</v>
      </c>
      <c r="B44" s="3" t="s">
        <v>312</v>
      </c>
      <c r="C44" s="19">
        <v>1023</v>
      </c>
      <c r="D44" s="3"/>
      <c r="E44" s="3"/>
      <c r="F44" s="6" t="s">
        <v>271</v>
      </c>
    </row>
    <row r="45" customHeight="1" spans="1:6">
      <c r="A45" s="3">
        <v>7</v>
      </c>
      <c r="B45" s="3" t="s">
        <v>313</v>
      </c>
      <c r="C45" s="19">
        <v>227</v>
      </c>
      <c r="D45" s="3"/>
      <c r="E45" s="3"/>
      <c r="F45" s="6" t="s">
        <v>314</v>
      </c>
    </row>
  </sheetData>
  <mergeCells count="6">
    <mergeCell ref="A1:F1"/>
    <mergeCell ref="A16:F16"/>
    <mergeCell ref="A36:F36"/>
    <mergeCell ref="A37:F37"/>
    <mergeCell ref="A24:A31"/>
    <mergeCell ref="A33:A35"/>
  </mergeCells>
  <pageMargins left="0.75" right="0.984027777777778" top="0.66875" bottom="0.550694444444444" header="0.51" footer="0.51"/>
  <pageSetup paperSize="1" orientation="portrait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舒可心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预算汇总</vt:lpstr>
      <vt:lpstr>收入明细</vt:lpstr>
      <vt:lpstr>1.工资福利</vt:lpstr>
      <vt:lpstr>2.设施设备运行维护</vt:lpstr>
      <vt:lpstr>3.清洁卫生</vt:lpstr>
      <vt:lpstr>4.绿化养护</vt:lpstr>
      <vt:lpstr>5.秩序维护</vt:lpstr>
      <vt:lpstr>6.办公费用</vt:lpstr>
      <vt:lpstr>7.开办费摊销</vt:lpstr>
      <vt:lpstr>8.保险</vt:lpstr>
      <vt:lpstr>9.其他费用</vt:lpstr>
      <vt:lpstr>10.规划各类建筑物面积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舒可心</dc:creator>
  <cp:lastModifiedBy>招标代理</cp:lastModifiedBy>
  <cp:revision>1</cp:revision>
  <dcterms:created xsi:type="dcterms:W3CDTF">2007-06-04T10:33:00Z</dcterms:created>
  <cp:lastPrinted>2017-07-06T17:50:00Z</cp:lastPrinted>
  <dcterms:modified xsi:type="dcterms:W3CDTF">2026-10-30T00:53:45Z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25E6B53C091346A9AE0C04EF30954FE6_12</vt:lpwstr>
  </property>
  <property fmtid="{D5CDD505-2E9C-101B-9397-08002B2CF9AE}" pid="4" name="CalculationRule">
    <vt:i4>0</vt:i4>
  </property>
</Properties>
</file>